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iles\"/>
    </mc:Choice>
  </mc:AlternateContent>
  <xr:revisionPtr revIDLastSave="0" documentId="13_ncr:1_{00BFFD94-ECE0-49C2-9F3C-60D787E8E080}" xr6:coauthVersionLast="45" xr6:coauthVersionMax="45" xr10:uidLastSave="{00000000-0000-0000-0000-000000000000}"/>
  <bookViews>
    <workbookView xWindow="-120" yWindow="-120" windowWidth="29040" windowHeight="15840" xr2:uid="{97CB474B-7E2D-4FDD-8726-6803B9EF4F78}"/>
  </bookViews>
  <sheets>
    <sheet name="Summary" sheetId="2" r:id="rId1"/>
    <sheet name="Project Benefits" sheetId="1" r:id="rId2"/>
    <sheet name="Project Costs" sheetId="3" r:id="rId3"/>
    <sheet name="Assumptions" sheetId="4" r:id="rId4"/>
  </sheets>
  <definedNames>
    <definedName name="AdminCost">Assumptions!$C$13</definedName>
    <definedName name="AdminUsers">Assumptions!$C$12</definedName>
    <definedName name="BusinessUserCost">Assumptions!$C$15</definedName>
    <definedName name="BusinessUsers">Assumptions!$C$14</definedName>
    <definedName name="Inflation">Assumptions!$C$9</definedName>
    <definedName name="ProjectLength">Assumptions!$C$6</definedName>
    <definedName name="varYears">Assumptions!$C$5</definedName>
    <definedName name="WACC">Assumptions!$C$7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19" i="4"/>
  <c r="D22" i="4" s="1"/>
  <c r="B21" i="2"/>
  <c r="D20" i="1"/>
  <c r="E20" i="1"/>
  <c r="F20" i="1"/>
  <c r="G20" i="1"/>
  <c r="C20" i="1"/>
  <c r="C21" i="1" s="1"/>
  <c r="H47" i="1"/>
  <c r="H46" i="1"/>
  <c r="H44" i="1"/>
  <c r="H43" i="1"/>
  <c r="H38" i="1"/>
  <c r="H34" i="1"/>
  <c r="G26" i="3"/>
  <c r="F26" i="3"/>
  <c r="E26" i="3"/>
  <c r="D26" i="3"/>
  <c r="H22" i="1"/>
  <c r="H19" i="1"/>
  <c r="H16" i="1"/>
  <c r="H33" i="1"/>
  <c r="I7" i="1"/>
  <c r="I11" i="1"/>
  <c r="H6" i="1"/>
  <c r="H10" i="1"/>
  <c r="H8" i="1"/>
  <c r="H27" i="1"/>
  <c r="H28" i="1"/>
  <c r="H26" i="1"/>
  <c r="D32" i="1"/>
  <c r="E32" i="1" s="1"/>
  <c r="F32" i="1" s="1"/>
  <c r="G32" i="1" s="1"/>
  <c r="D37" i="1"/>
  <c r="D39" i="1" s="1"/>
  <c r="E37" i="1"/>
  <c r="E39" i="1" s="1"/>
  <c r="F37" i="1"/>
  <c r="F39" i="1" s="1"/>
  <c r="G37" i="1"/>
  <c r="G39" i="1" s="1"/>
  <c r="H49" i="1"/>
  <c r="D45" i="1"/>
  <c r="E45" i="1"/>
  <c r="E50" i="1" s="1"/>
  <c r="F45" i="1"/>
  <c r="G45" i="1"/>
  <c r="D48" i="1"/>
  <c r="E48" i="1"/>
  <c r="F48" i="1"/>
  <c r="G48" i="1"/>
  <c r="D50" i="1"/>
  <c r="F50" i="1"/>
  <c r="D15" i="4"/>
  <c r="D27" i="3" s="1"/>
  <c r="D13" i="4"/>
  <c r="E13" i="4" s="1"/>
  <c r="E21" i="3" s="1"/>
  <c r="C27" i="3"/>
  <c r="C21" i="3"/>
  <c r="D17" i="1"/>
  <c r="E17" i="1"/>
  <c r="F17" i="1"/>
  <c r="G17" i="1"/>
  <c r="D18" i="1"/>
  <c r="E18" i="1"/>
  <c r="F18" i="1"/>
  <c r="G18" i="1"/>
  <c r="C7" i="1"/>
  <c r="E19" i="4"/>
  <c r="E22" i="4" s="1"/>
  <c r="C19" i="4"/>
  <c r="C22" i="4" s="1"/>
  <c r="D29" i="1"/>
  <c r="E29" i="1"/>
  <c r="F29" i="1"/>
  <c r="G29" i="1"/>
  <c r="D7" i="1" l="1"/>
  <c r="D21" i="1"/>
  <c r="D23" i="1" s="1"/>
  <c r="G50" i="1"/>
  <c r="C9" i="1"/>
  <c r="I9" i="1"/>
  <c r="E35" i="1"/>
  <c r="E36" i="1" s="1"/>
  <c r="E40" i="1" s="1"/>
  <c r="D35" i="1"/>
  <c r="D36" i="1" s="1"/>
  <c r="D40" i="1" s="1"/>
  <c r="H29" i="1"/>
  <c r="H32" i="1"/>
  <c r="D21" i="3"/>
  <c r="E15" i="4"/>
  <c r="F13" i="4"/>
  <c r="F35" i="1" s="1"/>
  <c r="F36" i="1" s="1"/>
  <c r="F40" i="1" s="1"/>
  <c r="E9" i="1"/>
  <c r="D9" i="1"/>
  <c r="G11" i="1"/>
  <c r="F11" i="1"/>
  <c r="E11" i="1"/>
  <c r="D11" i="1"/>
  <c r="F7" i="1" l="1"/>
  <c r="F19" i="4"/>
  <c r="F15" i="4"/>
  <c r="E21" i="1"/>
  <c r="E23" i="1" s="1"/>
  <c r="E27" i="3"/>
  <c r="F21" i="3"/>
  <c r="G13" i="4"/>
  <c r="E13" i="1"/>
  <c r="D13" i="1"/>
  <c r="F22" i="4" l="1"/>
  <c r="F9" i="1"/>
  <c r="F13" i="1" s="1"/>
  <c r="G19" i="4"/>
  <c r="G7" i="1"/>
  <c r="F27" i="3"/>
  <c r="F21" i="1"/>
  <c r="F23" i="1" s="1"/>
  <c r="G15" i="4"/>
  <c r="G21" i="3"/>
  <c r="G35" i="1"/>
  <c r="G36" i="1" s="1"/>
  <c r="G40" i="1" s="1"/>
  <c r="G22" i="4" l="1"/>
  <c r="G9" i="1"/>
  <c r="G13" i="1" s="1"/>
  <c r="G27" i="3"/>
  <c r="G21" i="1"/>
  <c r="G23" i="1" s="1"/>
  <c r="H7" i="1"/>
  <c r="H9" i="1" l="1"/>
  <c r="H21" i="1"/>
  <c r="H20" i="1"/>
  <c r="C18" i="1"/>
  <c r="H18" i="1" s="1"/>
  <c r="C17" i="1"/>
  <c r="H17" i="1" s="1"/>
  <c r="D4" i="2"/>
  <c r="D6" i="2" s="1"/>
  <c r="E4" i="2"/>
  <c r="E6" i="2" s="1"/>
  <c r="F4" i="2"/>
  <c r="F6" i="2" s="1"/>
  <c r="G4" i="2"/>
  <c r="G6" i="2" s="1"/>
  <c r="C4" i="2"/>
  <c r="H12" i="3"/>
  <c r="H11" i="3"/>
  <c r="H7" i="3"/>
  <c r="H8" i="3"/>
  <c r="H6" i="3"/>
  <c r="D9" i="3"/>
  <c r="E9" i="3"/>
  <c r="F9" i="3"/>
  <c r="G9" i="3"/>
  <c r="C9" i="3"/>
  <c r="F15" i="2" l="1"/>
  <c r="D15" i="2"/>
  <c r="D14" i="2"/>
  <c r="G14" i="2"/>
  <c r="G15" i="2"/>
  <c r="E15" i="2"/>
  <c r="F14" i="2"/>
  <c r="E14" i="2"/>
  <c r="H23" i="1"/>
  <c r="H9" i="3"/>
  <c r="F33" i="3"/>
  <c r="G33" i="3"/>
  <c r="C48" i="1"/>
  <c r="H48" i="1" s="1"/>
  <c r="C18" i="3"/>
  <c r="H18" i="3" s="1"/>
  <c r="F20" i="3"/>
  <c r="G20" i="3"/>
  <c r="F13" i="3"/>
  <c r="F15" i="3" s="1"/>
  <c r="G13" i="3"/>
  <c r="G15" i="3" s="1"/>
  <c r="H24" i="3"/>
  <c r="C24" i="3"/>
  <c r="C26" i="3" s="1"/>
  <c r="H26" i="3" s="1"/>
  <c r="H25" i="3" l="1"/>
  <c r="G28" i="3"/>
  <c r="F28" i="3"/>
  <c r="G22" i="3"/>
  <c r="F22" i="3"/>
  <c r="C29" i="1"/>
  <c r="C8" i="2" l="1"/>
  <c r="D8" i="2"/>
  <c r="E8" i="2" s="1"/>
  <c r="F8" i="2" s="1"/>
  <c r="G8" i="2" s="1"/>
  <c r="F35" i="3"/>
  <c r="G35" i="3"/>
  <c r="D33" i="3"/>
  <c r="E33" i="3"/>
  <c r="D13" i="3"/>
  <c r="D15" i="3" s="1"/>
  <c r="E13" i="3"/>
  <c r="E15" i="3" s="1"/>
  <c r="C13" i="3"/>
  <c r="C15" i="3" s="1"/>
  <c r="C45" i="1"/>
  <c r="C11" i="1"/>
  <c r="C50" i="1" l="1"/>
  <c r="H50" i="1" s="1"/>
  <c r="H45" i="1"/>
  <c r="C13" i="1"/>
  <c r="C6" i="2" s="1"/>
  <c r="H11" i="1"/>
  <c r="H13" i="1" s="1"/>
  <c r="G16" i="2"/>
  <c r="G17" i="2" s="1"/>
  <c r="G23" i="2" s="1"/>
  <c r="F16" i="2"/>
  <c r="F17" i="2" s="1"/>
  <c r="F23" i="2" s="1"/>
  <c r="C28" i="3"/>
  <c r="D28" i="3"/>
  <c r="E28" i="3"/>
  <c r="D20" i="3"/>
  <c r="E20" i="3"/>
  <c r="C20" i="3"/>
  <c r="C15" i="2"/>
  <c r="D10" i="2" l="1"/>
  <c r="G10" i="2"/>
  <c r="E10" i="2"/>
  <c r="F10" i="2"/>
  <c r="C10" i="2"/>
  <c r="H10" i="2" s="1"/>
  <c r="H20" i="3"/>
  <c r="H19" i="3" s="1"/>
  <c r="H15" i="2"/>
  <c r="H28" i="3"/>
  <c r="H6" i="2" l="1"/>
  <c r="I19" i="1"/>
  <c r="I16" i="1"/>
  <c r="C14" i="2"/>
  <c r="D22" i="3"/>
  <c r="E22" i="3"/>
  <c r="C22" i="3"/>
  <c r="C33" i="3"/>
  <c r="C35" i="1"/>
  <c r="C37" i="1"/>
  <c r="C36" i="1" l="1"/>
  <c r="H36" i="1" s="1"/>
  <c r="H35" i="1"/>
  <c r="C39" i="1"/>
  <c r="H39" i="1" s="1"/>
  <c r="H37" i="1"/>
  <c r="H14" i="2"/>
  <c r="H22" i="3"/>
  <c r="H21" i="3" s="1"/>
  <c r="C23" i="1"/>
  <c r="E35" i="3"/>
  <c r="E16" i="2" s="1"/>
  <c r="H13" i="3"/>
  <c r="H15" i="3" s="1"/>
  <c r="D35" i="3"/>
  <c r="D16" i="2" s="1"/>
  <c r="H33" i="3"/>
  <c r="H32" i="3" s="1"/>
  <c r="C40" i="1" l="1"/>
  <c r="C9" i="2" s="1"/>
  <c r="D9" i="2" s="1"/>
  <c r="E9" i="2" s="1"/>
  <c r="F9" i="2" s="1"/>
  <c r="G9" i="2" s="1"/>
  <c r="C7" i="2"/>
  <c r="D7" i="2"/>
  <c r="E7" i="2" s="1"/>
  <c r="F7" i="2" s="1"/>
  <c r="G7" i="2" s="1"/>
  <c r="C35" i="3"/>
  <c r="D17" i="2"/>
  <c r="D23" i="2" s="1"/>
  <c r="E17" i="2"/>
  <c r="E23" i="2" s="1"/>
  <c r="H40" i="1" l="1"/>
  <c r="H9" i="2"/>
  <c r="C11" i="2"/>
  <c r="C22" i="2" s="1"/>
  <c r="D11" i="2"/>
  <c r="C16" i="2"/>
  <c r="H16" i="2" s="1"/>
  <c r="H35" i="3"/>
  <c r="D19" i="2" l="1"/>
  <c r="D22" i="2"/>
  <c r="D24" i="2" s="1"/>
  <c r="H8" i="2"/>
  <c r="E11" i="2"/>
  <c r="C17" i="2"/>
  <c r="H17" i="2" l="1"/>
  <c r="C23" i="2"/>
  <c r="C24" i="2" s="1"/>
  <c r="E19" i="2"/>
  <c r="E22" i="2"/>
  <c r="G11" i="2"/>
  <c r="F11" i="2"/>
  <c r="C19" i="2"/>
  <c r="G19" i="2" l="1"/>
  <c r="G22" i="2"/>
  <c r="F19" i="2"/>
  <c r="F22" i="2"/>
  <c r="C25" i="2"/>
  <c r="H7" i="2"/>
  <c r="H11" i="2" s="1"/>
  <c r="H19" i="2" l="1"/>
  <c r="C27" i="2"/>
  <c r="D25" i="2"/>
  <c r="H22" i="2"/>
  <c r="J18" i="2" s="1"/>
  <c r="H27" i="3"/>
  <c r="D27" i="2" l="1"/>
  <c r="E24" i="2"/>
  <c r="E25" i="2" s="1"/>
  <c r="E27" i="2" l="1"/>
  <c r="F24" i="2"/>
  <c r="F25" i="2" s="1"/>
  <c r="F27" i="2" l="1"/>
  <c r="G24" i="2"/>
  <c r="G25" i="2" s="1"/>
  <c r="G27" i="2" l="1"/>
  <c r="J12" i="2" s="1"/>
  <c r="H25" i="2"/>
  <c r="H24" i="2"/>
  <c r="H23" i="2"/>
  <c r="N18" i="2" s="1"/>
  <c r="N6" i="2" l="1"/>
  <c r="N12" i="2" s="1"/>
  <c r="J6" i="2"/>
</calcChain>
</file>

<file path=xl/sharedStrings.xml><?xml version="1.0" encoding="utf-8"?>
<sst xmlns="http://schemas.openxmlformats.org/spreadsheetml/2006/main" count="228" uniqueCount="144">
  <si>
    <t>Total</t>
  </si>
  <si>
    <t>Software/Licenses</t>
  </si>
  <si>
    <t>Cost of hiring replacement staff</t>
  </si>
  <si>
    <t># of Administrative users</t>
  </si>
  <si>
    <t># of Business Users</t>
  </si>
  <si>
    <t>Cost to train a new employee</t>
  </si>
  <si>
    <t>Total Benefit</t>
  </si>
  <si>
    <t>User and Burden Assumptions</t>
  </si>
  <si>
    <t># ramp-up hours for new employee</t>
  </si>
  <si>
    <t># coworker hours to train</t>
  </si>
  <si>
    <t>Hourly rate</t>
  </si>
  <si>
    <t># of employees at risk</t>
  </si>
  <si>
    <t>Notes</t>
  </si>
  <si>
    <t>Implementation - Ad-hoc</t>
  </si>
  <si>
    <t>Vendor Costs</t>
  </si>
  <si>
    <t>Hourly Wage</t>
  </si>
  <si>
    <t>Internal Costs for Implementation</t>
  </si>
  <si>
    <t># Subject Matter experts</t>
  </si>
  <si>
    <t>Avg. Hours required</t>
  </si>
  <si>
    <t>Costs to provide Subject Matter expertise</t>
  </si>
  <si>
    <t>Avg. Hourly Burden</t>
  </si>
  <si>
    <t>Total Online Training Hours</t>
  </si>
  <si>
    <t>Vendor - Software/Licenses</t>
  </si>
  <si>
    <t>Vendor - Implementation</t>
  </si>
  <si>
    <t>Annual Revenue</t>
  </si>
  <si>
    <t>Risk Mitigation</t>
  </si>
  <si>
    <t>Internal - Implementation and Training</t>
  </si>
  <si>
    <t># of admins trained</t>
  </si>
  <si>
    <t>Return on Investment</t>
  </si>
  <si>
    <t>Year 1</t>
  </si>
  <si>
    <t>Year 2</t>
  </si>
  <si>
    <t>Year 3</t>
  </si>
  <si>
    <t>Total Investment</t>
  </si>
  <si>
    <t>Job boards, recruitment, interviewers time</t>
  </si>
  <si>
    <t>Assume administrators are the ones impacted the most</t>
  </si>
  <si>
    <t>The time the rest of the team invests in a new employee</t>
  </si>
  <si>
    <t>Benefits from an FP&amp;A System</t>
  </si>
  <si>
    <t>% increase in revenue</t>
  </si>
  <si>
    <t>Annual operating expenses</t>
  </si>
  <si>
    <t>Expected incremental resignations</t>
  </si>
  <si>
    <t>The number of people expected to leave</t>
  </si>
  <si>
    <t>Cost of a critical error</t>
  </si>
  <si>
    <t>Errors that can hurt company reputation or expose to liability</t>
  </si>
  <si>
    <t>Total Internal Costs for Implementation</t>
  </si>
  <si>
    <t>Costs for training administrators</t>
  </si>
  <si>
    <t>Training Hours</t>
  </si>
  <si>
    <t>Costs for training end-users</t>
  </si>
  <si>
    <t>Total Implementation</t>
  </si>
  <si>
    <t>Gross Margin %</t>
  </si>
  <si>
    <t>System makes auditing and compliance easier, reducing fees.  Forecast accruals more accurately.</t>
  </si>
  <si>
    <t xml:space="preserve">The time before a new employee becomes productive.  </t>
  </si>
  <si>
    <t>Increased likelihood of turnover without a system</t>
  </si>
  <si>
    <t>Able to control expenses better with detailed monthly variance analysis and frequent forecasting.</t>
  </si>
  <si>
    <t>% reduction in operating expenses</t>
  </si>
  <si>
    <t>Implementation</t>
  </si>
  <si>
    <t>Total Vendor Costs</t>
  </si>
  <si>
    <t>Year 4</t>
  </si>
  <si>
    <t>Year 5</t>
  </si>
  <si>
    <t>Annual COS</t>
  </si>
  <si>
    <t>Cost of current system failing</t>
  </si>
  <si>
    <t>1a. Dollar impact from revenue increase</t>
  </si>
  <si>
    <t>1b. Dollar savings from reduced cost-of-sales</t>
  </si>
  <si>
    <t>1c. Dollar savings from reduced operating expenses</t>
  </si>
  <si>
    <t>1. Total Annual Efficiency Savings</t>
  </si>
  <si>
    <t>2a. Admin-user savings</t>
  </si>
  <si>
    <t>2b. Business-user savings</t>
  </si>
  <si>
    <t>3a. Software Savings</t>
  </si>
  <si>
    <t>3b. Hardware Savings</t>
  </si>
  <si>
    <t>3c. Reduction in IT labor</t>
  </si>
  <si>
    <t>Positions that are no longer needed and can be removed</t>
  </si>
  <si>
    <t>Hardware you can deprecate or repurpose</t>
  </si>
  <si>
    <t>IT staff you can retask</t>
  </si>
  <si>
    <t>4. Expected savings from employee turnover</t>
  </si>
  <si>
    <t>3. Systems and Hardware Savings</t>
  </si>
  <si>
    <t>2. Total Labor Savings</t>
  </si>
  <si>
    <t>6. Expected savings from Risk Mitigation Measures</t>
  </si>
  <si>
    <t>5a. Expected savings from reduction in Critical errors</t>
  </si>
  <si>
    <t>5b. Expected savings from failure reduction</t>
  </si>
  <si>
    <t>Impact on the business if the current process ceases to work</t>
  </si>
  <si>
    <t>.</t>
  </si>
  <si>
    <t>3. Deprecated systems and hardware</t>
  </si>
  <si>
    <t>5. Risk Mitigation</t>
  </si>
  <si>
    <t>Investment Summary</t>
  </si>
  <si>
    <t>Software and Implementation Costs</t>
  </si>
  <si>
    <t>Annual Business user hours saved / per user</t>
  </si>
  <si>
    <t>Annual Admin user hours saved /per user</t>
  </si>
  <si>
    <t>Benefits</t>
  </si>
  <si>
    <t>Costs</t>
  </si>
  <si>
    <t>1. Business Performance</t>
  </si>
  <si>
    <t>Business Performance</t>
  </si>
  <si>
    <t>Usage</t>
  </si>
  <si>
    <t>Total Software</t>
  </si>
  <si>
    <t>Expected services after the initial implementation</t>
  </si>
  <si>
    <t>Hosting/Support/Helpdesk</t>
  </si>
  <si>
    <t># of End-users trained</t>
  </si>
  <si>
    <t>2. Labor Savings/Productivity</t>
  </si>
  <si>
    <t>The additional likelihood an employee leaves if you maintain status quo</t>
  </si>
  <si>
    <t>% reduction in cost-of-sales</t>
  </si>
  <si>
    <t>More accurate staff planning. Reduction in waste.  Better inventory management, etc.</t>
  </si>
  <si>
    <t>Annual chance of a critical error if Status Quo</t>
  </si>
  <si>
    <t>Annual chance of a critical failure if Status Quo</t>
  </si>
  <si>
    <t>Initial Project Length (months)</t>
  </si>
  <si>
    <t>Net income</t>
  </si>
  <si>
    <t>4. Employee Retention</t>
  </si>
  <si>
    <t>5. Risk Mitigation and Business Continuity</t>
  </si>
  <si>
    <t>Deprecate an ERP reporting bolt-on</t>
  </si>
  <si>
    <t>Able to adjust pricing up or down depending on operating capacity</t>
  </si>
  <si>
    <t># of Admins</t>
  </si>
  <si>
    <t>Assumptions</t>
  </si>
  <si>
    <t>Tax Rate</t>
  </si>
  <si>
    <t>General</t>
  </si>
  <si>
    <t>Company Financials</t>
  </si>
  <si>
    <t>Number of Years for Business Case</t>
  </si>
  <si>
    <t>Investment Gain</t>
  </si>
  <si>
    <t>Labor Savings</t>
  </si>
  <si>
    <t>Deprecated Systems</t>
  </si>
  <si>
    <t>Employee Retention</t>
  </si>
  <si>
    <t>1d. Other general savings</t>
  </si>
  <si>
    <t>Improved receivables management, improved debt management</t>
  </si>
  <si>
    <t>2c. Direct Headcount reduction / other savings</t>
  </si>
  <si>
    <t>5c. Reduction in Audit fees / other savings</t>
  </si>
  <si>
    <t>Wage Inflation</t>
  </si>
  <si>
    <t>Total Training Hours</t>
  </si>
  <si>
    <t>Avg Annual Cost per Administrator</t>
  </si>
  <si>
    <t>Avg Annual Cost per Business User</t>
  </si>
  <si>
    <t>Payback Period</t>
  </si>
  <si>
    <t>Cost of Capital</t>
  </si>
  <si>
    <t>Payback period</t>
  </si>
  <si>
    <t>Discounted Benefits</t>
  </si>
  <si>
    <t>Discounted Cash Flows</t>
  </si>
  <si>
    <t>Annualized Return</t>
  </si>
  <si>
    <t>Discounted Investment</t>
  </si>
  <si>
    <t>Avg. Cost of Ownership</t>
  </si>
  <si>
    <t>Avg. Annual Benefit</t>
  </si>
  <si>
    <t>titanium</t>
  </si>
  <si>
    <t>Password to unprotect worksheets:</t>
  </si>
  <si>
    <t>2. Productivity/Labor Savings</t>
  </si>
  <si>
    <t>Average training hours for each admin</t>
  </si>
  <si>
    <t>Number of admins trained each year</t>
  </si>
  <si>
    <t>Annual subscription</t>
  </si>
  <si>
    <t>Fees depending on how much the software is used</t>
  </si>
  <si>
    <t>Special support or hosting fees</t>
  </si>
  <si>
    <t>Up-front implementation</t>
  </si>
  <si>
    <t>People who contribute to the implementation through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</si>
</sst>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;[Red]\-&quot;$&quot;#,##0.0"/>
    <numFmt numFmtId="166" formatCode="&quot;$&quot;#,##0.00"/>
    <numFmt numFmtId="167" formatCode="&quot;$&quot;#,##0"/>
    <numFmt numFmtId="168" formatCode="#,##0,\K"/>
    <numFmt numFmtId="169" formatCode="0.0%"/>
    <numFmt numFmtId="170" formatCode="0.000%"/>
    <numFmt numFmtId="174" formatCode="#,##0.0"/>
  </numFmts>
  <fonts count="26" x14ac:knownFonts="1">
    <font>
      <sz val="10"/>
      <color rgb="FF444242"/>
      <name val="Roboto Slab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44242"/>
      <name val="Roboto Slab"/>
    </font>
    <font>
      <b/>
      <sz val="16"/>
      <color theme="0"/>
      <name val="Roboto Condensed"/>
    </font>
    <font>
      <b/>
      <sz val="13"/>
      <color rgb="FF1A395E"/>
      <name val="Roboto Condensed"/>
    </font>
    <font>
      <sz val="11"/>
      <color rgb="FF444242"/>
      <name val="Roboto Condensed"/>
    </font>
    <font>
      <sz val="11"/>
      <color theme="0"/>
      <name val="Roboto Condensed"/>
    </font>
    <font>
      <sz val="10"/>
      <color rgb="FF1A395E"/>
      <name val="Roboto Slab"/>
    </font>
    <font>
      <sz val="10"/>
      <color rgb="FFBF612A"/>
      <name val="Roboto Slab"/>
    </font>
    <font>
      <b/>
      <sz val="24"/>
      <color rgb="FF444242"/>
      <name val="Roboto Condensed"/>
    </font>
    <font>
      <b/>
      <sz val="24"/>
      <color rgb="FF1C2936"/>
      <name val="Roboto Condensed"/>
    </font>
    <font>
      <sz val="11"/>
      <color theme="1"/>
      <name val="Roboto Slab"/>
    </font>
    <font>
      <b/>
      <sz val="10"/>
      <color rgb="FF444242"/>
      <name val="Roboto Slab"/>
    </font>
    <font>
      <b/>
      <sz val="10"/>
      <color rgb="FF1A395E"/>
      <name val="Roboto Slab"/>
    </font>
    <font>
      <b/>
      <sz val="12"/>
      <color theme="1"/>
      <name val="Roboto Condensed"/>
    </font>
    <font>
      <b/>
      <sz val="40"/>
      <color rgb="FFBF612A"/>
      <name val="Calibri"/>
      <family val="2"/>
      <scheme val="minor"/>
    </font>
    <font>
      <b/>
      <sz val="11"/>
      <color rgb="FF444242"/>
      <name val="Roboto Condensed"/>
    </font>
    <font>
      <sz val="10"/>
      <color theme="0"/>
      <name val="Roboto Slab"/>
    </font>
    <font>
      <sz val="9"/>
      <color rgb="FF444242"/>
      <name val="Roboto Slab"/>
    </font>
    <font>
      <b/>
      <sz val="9"/>
      <color rgb="FF1A395E"/>
      <name val="Roboto Condensed"/>
    </font>
    <font>
      <b/>
      <sz val="12"/>
      <color rgb="FF444242"/>
      <name val="Roboto Slab"/>
    </font>
    <font>
      <b/>
      <sz val="12"/>
      <color theme="0"/>
      <name val="Roboto Condensed"/>
    </font>
    <font>
      <sz val="8"/>
      <name val="Roboto Slab"/>
    </font>
    <font>
      <i/>
      <sz val="10"/>
      <color rgb="FF444242"/>
      <name val="Roboto Slab"/>
    </font>
    <font>
      <b/>
      <i/>
      <sz val="10"/>
      <color rgb="FF444242"/>
      <name val="Roboto Slab"/>
    </font>
  </fonts>
  <fills count="9">
    <fill>
      <patternFill patternType="none"/>
    </fill>
    <fill>
      <patternFill patternType="gray125"/>
    </fill>
    <fill>
      <patternFill patternType="solid">
        <fgColor rgb="FF1C293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A39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6F6"/>
        <bgColor indexed="64"/>
      </patternFill>
    </fill>
  </fills>
  <borders count="60">
    <border>
      <left/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444242"/>
      </top>
      <bottom style="thin">
        <color theme="0" tint="-4.9989318521683403E-2"/>
      </bottom>
      <diagonal/>
    </border>
    <border>
      <left/>
      <right/>
      <top style="thin">
        <color rgb="FF1A395E"/>
      </top>
      <bottom style="double">
        <color rgb="FF1A395E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 tint="-0.499984740745262"/>
      </left>
      <right style="thin">
        <color theme="2"/>
      </right>
      <top style="thin">
        <color theme="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 tint="0.24994659260841701"/>
      </left>
      <right style="thin">
        <color theme="2"/>
      </right>
      <top style="thin">
        <color theme="1" tint="0.24994659260841701"/>
      </top>
      <bottom style="thin">
        <color theme="2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2"/>
      </left>
      <right style="thin">
        <color theme="1" tint="0.24994659260841701"/>
      </right>
      <top style="thin">
        <color theme="1" tint="0.24994659260841701"/>
      </top>
      <bottom style="thin">
        <color theme="2"/>
      </bottom>
      <diagonal/>
    </border>
    <border>
      <left style="thin">
        <color theme="1" tint="0.24994659260841701"/>
      </left>
      <right style="thin">
        <color theme="2"/>
      </right>
      <top style="thin">
        <color theme="2"/>
      </top>
      <bottom style="thin">
        <color theme="1" tint="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1" tint="0.24994659260841701"/>
      </bottom>
      <diagonal/>
    </border>
    <border>
      <left style="thin">
        <color theme="2"/>
      </left>
      <right style="thin">
        <color theme="2" tint="-0.49998474074526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theme="0" tint="-4.9989318521683403E-2"/>
      </bottom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2"/>
      </right>
      <top style="thin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theme="2"/>
      </left>
      <right style="thin">
        <color theme="1" tint="0.24994659260841701"/>
      </right>
      <top style="thin">
        <color theme="1"/>
      </top>
      <bottom style="thin">
        <color theme="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1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0" tint="-4.9989318521683403E-2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theme="2"/>
      </right>
      <top style="thin">
        <color theme="1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</borders>
  <cellStyleXfs count="21">
    <xf numFmtId="0" fontId="0" fillId="8" borderId="0" applyNumberForma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Alignment="0" applyProtection="0"/>
    <xf numFmtId="0" fontId="6" fillId="4" borderId="2" applyNumberFormat="0" applyProtection="0">
      <alignment horizontal="left" indent="1"/>
    </xf>
    <xf numFmtId="3" fontId="3" fillId="5" borderId="3" applyAlignment="0" applyProtection="0"/>
    <xf numFmtId="3" fontId="3" fillId="0" borderId="1" applyAlignment="0" applyProtection="0"/>
    <xf numFmtId="0" fontId="12" fillId="0" borderId="6" applyNumberFormat="0" applyFill="0" applyProtection="0">
      <alignment horizontal="right"/>
    </xf>
    <xf numFmtId="0" fontId="7" fillId="6" borderId="0">
      <alignment horizontal="center"/>
    </xf>
    <xf numFmtId="3" fontId="3" fillId="0" borderId="4" applyAlignment="0" applyProtection="0"/>
    <xf numFmtId="3" fontId="8" fillId="0" borderId="4"/>
    <xf numFmtId="3" fontId="3" fillId="5" borderId="2" applyAlignment="0">
      <protection locked="0"/>
    </xf>
    <xf numFmtId="3" fontId="9" fillId="0" borderId="4"/>
    <xf numFmtId="0" fontId="4" fillId="2" borderId="0" applyNumberFormat="0" applyBorder="0" applyAlignment="0" applyProtection="0"/>
    <xf numFmtId="0" fontId="5" fillId="3" borderId="0" applyNumberFormat="0" applyAlignment="0" applyProtection="0"/>
    <xf numFmtId="0" fontId="6" fillId="4" borderId="2" applyNumberFormat="0" applyProtection="0">
      <alignment horizontal="left" indent="1"/>
    </xf>
    <xf numFmtId="0" fontId="10" fillId="8" borderId="0" applyNumberFormat="0" applyBorder="0" applyAlignment="0" applyProtection="0"/>
    <xf numFmtId="3" fontId="3" fillId="0" borderId="5">
      <alignment horizontal="right"/>
    </xf>
    <xf numFmtId="43" fontId="3" fillId="0" borderId="0" applyFont="0" applyFill="0" applyBorder="0" applyAlignment="0" applyProtection="0"/>
  </cellStyleXfs>
  <cellXfs count="184">
    <xf numFmtId="0" fontId="0" fillId="8" borderId="0" xfId="0"/>
    <xf numFmtId="164" fontId="0" fillId="8" borderId="0" xfId="0" applyNumberFormat="1"/>
    <xf numFmtId="6" fontId="0" fillId="8" borderId="0" xfId="0" applyNumberFormat="1"/>
    <xf numFmtId="165" fontId="0" fillId="8" borderId="0" xfId="0" applyNumberFormat="1"/>
    <xf numFmtId="0" fontId="0" fillId="8" borderId="0" xfId="0" applyAlignment="1">
      <alignment horizontal="center"/>
    </xf>
    <xf numFmtId="7" fontId="0" fillId="8" borderId="0" xfId="0" applyNumberFormat="1" applyAlignment="1">
      <alignment horizontal="center"/>
    </xf>
    <xf numFmtId="164" fontId="0" fillId="8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6" fontId="0" fillId="8" borderId="0" xfId="0" applyNumberFormat="1"/>
    <xf numFmtId="167" fontId="0" fillId="8" borderId="0" xfId="0" applyNumberFormat="1"/>
    <xf numFmtId="8" fontId="0" fillId="8" borderId="0" xfId="0" applyNumberFormat="1"/>
    <xf numFmtId="0" fontId="0" fillId="8" borderId="0" xfId="0" applyAlignment="1">
      <alignment wrapText="1"/>
    </xf>
    <xf numFmtId="0" fontId="7" fillId="6" borderId="0" xfId="10">
      <alignment horizontal="center"/>
    </xf>
    <xf numFmtId="0" fontId="6" fillId="4" borderId="2" xfId="17">
      <alignment horizontal="left" indent="1"/>
    </xf>
    <xf numFmtId="3" fontId="3" fillId="0" borderId="4" xfId="11"/>
    <xf numFmtId="3" fontId="3" fillId="5" borderId="2" xfId="13">
      <protection locked="0"/>
    </xf>
    <xf numFmtId="0" fontId="5" fillId="3" borderId="0" xfId="16"/>
    <xf numFmtId="0" fontId="10" fillId="8" borderId="0" xfId="18"/>
    <xf numFmtId="0" fontId="7" fillId="6" borderId="0" xfId="10" applyAlignment="1">
      <alignment horizontal="left"/>
    </xf>
    <xf numFmtId="0" fontId="0" fillId="8" borderId="0" xfId="0" applyFont="1" applyAlignment="1">
      <alignment horizontal="left" vertical="top"/>
    </xf>
    <xf numFmtId="0" fontId="0" fillId="8" borderId="0" xfId="0" applyAlignment="1">
      <alignment horizontal="left" vertical="top"/>
    </xf>
    <xf numFmtId="0" fontId="5" fillId="3" borderId="0" xfId="16" applyAlignment="1">
      <alignment horizontal="left"/>
    </xf>
    <xf numFmtId="167" fontId="3" fillId="5" borderId="2" xfId="13" applyNumberFormat="1">
      <protection locked="0"/>
    </xf>
    <xf numFmtId="6" fontId="14" fillId="3" borderId="0" xfId="16" applyNumberFormat="1" applyFont="1" applyAlignment="1">
      <alignment horizontal="right"/>
    </xf>
    <xf numFmtId="10" fontId="3" fillId="5" borderId="2" xfId="2" applyNumberFormat="1" applyFont="1" applyFill="1" applyBorder="1" applyAlignment="1" applyProtection="1">
      <alignment horizontal="center" vertical="center"/>
      <protection locked="0"/>
    </xf>
    <xf numFmtId="0" fontId="17" fillId="4" borderId="2" xfId="17" applyFont="1">
      <alignment horizontal="left" indent="1"/>
    </xf>
    <xf numFmtId="0" fontId="17" fillId="4" borderId="2" xfId="17" applyFont="1" applyAlignment="1">
      <alignment horizontal="left"/>
    </xf>
    <xf numFmtId="9" fontId="3" fillId="5" borderId="2" xfId="2" applyFont="1" applyFill="1" applyBorder="1" applyAlignment="1" applyProtection="1">
      <alignment horizontal="center" vertical="center"/>
      <protection locked="0"/>
    </xf>
    <xf numFmtId="167" fontId="13" fillId="7" borderId="2" xfId="17" applyNumberFormat="1" applyFont="1" applyFill="1" applyAlignment="1">
      <alignment horizontal="right"/>
    </xf>
    <xf numFmtId="3" fontId="13" fillId="0" borderId="4" xfId="11" applyFont="1"/>
    <xf numFmtId="0" fontId="13" fillId="8" borderId="0" xfId="0" applyFont="1"/>
    <xf numFmtId="166" fontId="3" fillId="0" borderId="4" xfId="11" applyNumberFormat="1"/>
    <xf numFmtId="167" fontId="13" fillId="0" borderId="4" xfId="11" applyNumberFormat="1" applyFont="1"/>
    <xf numFmtId="167" fontId="13" fillId="8" borderId="0" xfId="0" applyNumberFormat="1" applyFont="1"/>
    <xf numFmtId="0" fontId="5" fillId="3" borderId="0" xfId="16" applyFont="1" applyAlignment="1">
      <alignment horizontal="left"/>
    </xf>
    <xf numFmtId="164" fontId="13" fillId="8" borderId="0" xfId="0" applyNumberFormat="1" applyFont="1"/>
    <xf numFmtId="166" fontId="13" fillId="0" borderId="4" xfId="11" applyNumberFormat="1" applyFont="1"/>
    <xf numFmtId="0" fontId="7" fillId="6" borderId="0" xfId="10" applyFont="1">
      <alignment horizontal="center"/>
    </xf>
    <xf numFmtId="6" fontId="3" fillId="0" borderId="4" xfId="11" applyNumberFormat="1" applyAlignment="1">
      <alignment horizontal="right"/>
    </xf>
    <xf numFmtId="6" fontId="0" fillId="8" borderId="0" xfId="0" applyNumberFormat="1" applyAlignment="1">
      <alignment horizontal="right"/>
    </xf>
    <xf numFmtId="169" fontId="0" fillId="0" borderId="0" xfId="2" applyNumberFormat="1" applyFont="1"/>
    <xf numFmtId="0" fontId="6" fillId="4" borderId="2" xfId="17" applyAlignment="1">
      <alignment horizontal="left" vertical="center"/>
    </xf>
    <xf numFmtId="3" fontId="3" fillId="5" borderId="2" xfId="13" applyAlignment="1">
      <alignment vertical="center"/>
      <protection locked="0"/>
    </xf>
    <xf numFmtId="167" fontId="3" fillId="5" borderId="2" xfId="13" applyNumberFormat="1" applyAlignment="1">
      <alignment vertical="center"/>
      <protection locked="0"/>
    </xf>
    <xf numFmtId="6" fontId="13" fillId="0" borderId="4" xfId="11" applyNumberFormat="1" applyFont="1" applyAlignment="1">
      <alignment horizontal="right"/>
    </xf>
    <xf numFmtId="6" fontId="13" fillId="8" borderId="0" xfId="0" applyNumberFormat="1" applyFont="1" applyAlignment="1">
      <alignment horizontal="right"/>
    </xf>
    <xf numFmtId="0" fontId="5" fillId="3" borderId="0" xfId="16" applyAlignment="1">
      <alignment vertical="center"/>
    </xf>
    <xf numFmtId="10" fontId="3" fillId="5" borderId="11" xfId="2" applyNumberFormat="1" applyFont="1" applyFill="1" applyBorder="1" applyAlignment="1" applyProtection="1">
      <alignment horizontal="center" vertical="center"/>
      <protection locked="0"/>
    </xf>
    <xf numFmtId="0" fontId="17" fillId="4" borderId="16" xfId="17" applyFont="1" applyBorder="1" applyAlignment="1">
      <alignment horizontal="left"/>
    </xf>
    <xf numFmtId="167" fontId="13" fillId="7" borderId="17" xfId="17" applyNumberFormat="1" applyFont="1" applyFill="1" applyBorder="1" applyAlignment="1">
      <alignment horizontal="center"/>
    </xf>
    <xf numFmtId="0" fontId="6" fillId="4" borderId="19" xfId="17" applyBorder="1">
      <alignment horizontal="left" indent="1"/>
    </xf>
    <xf numFmtId="167" fontId="3" fillId="5" borderId="20" xfId="13" applyNumberFormat="1" applyBorder="1" applyAlignment="1">
      <alignment horizontal="center"/>
      <protection locked="0"/>
    </xf>
    <xf numFmtId="0" fontId="6" fillId="4" borderId="26" xfId="17" applyBorder="1">
      <alignment horizontal="left" indent="1"/>
    </xf>
    <xf numFmtId="167" fontId="3" fillId="5" borderId="2" xfId="13" applyNumberFormat="1" applyBorder="1" applyAlignment="1">
      <alignment horizontal="center"/>
      <protection locked="0"/>
    </xf>
    <xf numFmtId="0" fontId="6" fillId="4" borderId="19" xfId="17" applyBorder="1" applyAlignment="1">
      <alignment horizontal="left" vertical="center" indent="1"/>
    </xf>
    <xf numFmtId="167" fontId="3" fillId="5" borderId="20" xfId="13" applyNumberFormat="1" applyBorder="1" applyAlignment="1">
      <alignment horizontal="center" vertical="center"/>
      <protection locked="0"/>
    </xf>
    <xf numFmtId="0" fontId="6" fillId="4" borderId="26" xfId="17" applyBorder="1" applyAlignment="1">
      <alignment horizontal="left" vertical="center" indent="1"/>
    </xf>
    <xf numFmtId="3" fontId="3" fillId="5" borderId="2" xfId="13" applyBorder="1" applyAlignment="1">
      <alignment horizontal="center" vertical="center"/>
      <protection locked="0"/>
    </xf>
    <xf numFmtId="166" fontId="3" fillId="0" borderId="4" xfId="11" applyNumberFormat="1" applyBorder="1" applyAlignment="1">
      <alignment horizontal="center" vertical="center"/>
    </xf>
    <xf numFmtId="167" fontId="3" fillId="0" borderId="4" xfId="11" applyNumberFormat="1" applyBorder="1" applyAlignment="1">
      <alignment horizontal="center" vertical="center"/>
    </xf>
    <xf numFmtId="3" fontId="3" fillId="0" borderId="4" xfId="11" applyBorder="1" applyAlignment="1">
      <alignment horizontal="center" vertical="center"/>
    </xf>
    <xf numFmtId="167" fontId="3" fillId="5" borderId="20" xfId="1" applyNumberFormat="1" applyFont="1" applyFill="1" applyBorder="1" applyAlignment="1" applyProtection="1">
      <alignment horizontal="center" vertical="center"/>
      <protection locked="0"/>
    </xf>
    <xf numFmtId="167" fontId="3" fillId="7" borderId="28" xfId="17" applyNumberFormat="1" applyFont="1" applyFill="1" applyBorder="1" applyAlignment="1">
      <alignment horizontal="center"/>
    </xf>
    <xf numFmtId="167" fontId="3" fillId="5" borderId="17" xfId="1" applyNumberFormat="1" applyFont="1" applyFill="1" applyBorder="1" applyAlignment="1" applyProtection="1">
      <alignment horizontal="center" vertical="center"/>
      <protection locked="0"/>
    </xf>
    <xf numFmtId="0" fontId="17" fillId="4" borderId="32" xfId="17" applyFont="1" applyBorder="1" applyAlignment="1">
      <alignment horizontal="left"/>
    </xf>
    <xf numFmtId="167" fontId="13" fillId="7" borderId="34" xfId="17" applyNumberFormat="1" applyFont="1" applyFill="1" applyBorder="1" applyAlignment="1">
      <alignment horizontal="center"/>
    </xf>
    <xf numFmtId="0" fontId="6" fillId="4" borderId="30" xfId="17" applyFont="1" applyBorder="1" applyAlignment="1">
      <alignment horizontal="left" indent="1"/>
    </xf>
    <xf numFmtId="10" fontId="3" fillId="5" borderId="7" xfId="2" applyNumberFormat="1" applyFont="1" applyFill="1" applyBorder="1" applyAlignment="1" applyProtection="1">
      <alignment horizontal="center" vertical="center"/>
      <protection locked="0"/>
    </xf>
    <xf numFmtId="0" fontId="5" fillId="3" borderId="36" xfId="16" applyBorder="1" applyAlignment="1">
      <alignment horizontal="left"/>
    </xf>
    <xf numFmtId="0" fontId="5" fillId="3" borderId="37" xfId="16" applyBorder="1" applyAlignment="1">
      <alignment horizontal="left"/>
    </xf>
    <xf numFmtId="0" fontId="5" fillId="3" borderId="38" xfId="16" applyBorder="1" applyAlignment="1">
      <alignment horizontal="left"/>
    </xf>
    <xf numFmtId="0" fontId="5" fillId="3" borderId="37" xfId="16" applyBorder="1" applyAlignment="1">
      <alignment horizontal="center"/>
    </xf>
    <xf numFmtId="0" fontId="5" fillId="3" borderId="36" xfId="16" applyBorder="1" applyAlignment="1">
      <alignment horizontal="left" vertical="center"/>
    </xf>
    <xf numFmtId="0" fontId="6" fillId="4" borderId="35" xfId="17" applyFont="1" applyBorder="1" applyAlignment="1">
      <alignment horizontal="left" vertical="center" indent="1"/>
    </xf>
    <xf numFmtId="0" fontId="6" fillId="4" borderId="10" xfId="17" applyFont="1" applyBorder="1" applyAlignment="1">
      <alignment horizontal="left" vertical="center" indent="1"/>
    </xf>
    <xf numFmtId="167" fontId="3" fillId="0" borderId="9" xfId="11" applyNumberFormat="1" applyFont="1" applyBorder="1" applyAlignment="1">
      <alignment horizontal="center" vertical="center"/>
    </xf>
    <xf numFmtId="167" fontId="3" fillId="0" borderId="14" xfId="11" applyNumberFormat="1" applyFont="1" applyBorder="1" applyAlignment="1">
      <alignment horizontal="center" vertical="center"/>
    </xf>
    <xf numFmtId="167" fontId="3" fillId="5" borderId="17" xfId="13" applyNumberFormat="1" applyFont="1" applyBorder="1" applyAlignment="1">
      <alignment horizontal="center" vertical="center"/>
      <protection locked="0"/>
    </xf>
    <xf numFmtId="0" fontId="6" fillId="4" borderId="19" xfId="17" applyFont="1" applyBorder="1">
      <alignment horizontal="left" indent="1"/>
    </xf>
    <xf numFmtId="3" fontId="3" fillId="5" borderId="20" xfId="13" applyFont="1" applyBorder="1" applyAlignment="1">
      <alignment horizontal="center"/>
      <protection locked="0"/>
    </xf>
    <xf numFmtId="0" fontId="6" fillId="4" borderId="22" xfId="17" applyFont="1" applyBorder="1">
      <alignment horizontal="left" indent="1"/>
    </xf>
    <xf numFmtId="167" fontId="3" fillId="0" borderId="23" xfId="11" applyNumberFormat="1" applyFont="1" applyBorder="1" applyAlignment="1">
      <alignment horizontal="center"/>
    </xf>
    <xf numFmtId="0" fontId="6" fillId="4" borderId="16" xfId="17" applyFont="1" applyBorder="1">
      <alignment horizontal="left" indent="1"/>
    </xf>
    <xf numFmtId="0" fontId="6" fillId="4" borderId="8" xfId="17" applyFont="1" applyBorder="1" applyAlignment="1">
      <alignment horizontal="left" vertical="center" indent="1"/>
    </xf>
    <xf numFmtId="0" fontId="6" fillId="4" borderId="13" xfId="17" applyFont="1" applyBorder="1" applyAlignment="1">
      <alignment horizontal="left" vertical="center" indent="1"/>
    </xf>
    <xf numFmtId="0" fontId="6" fillId="4" borderId="15" xfId="17" applyFont="1" applyBorder="1" applyAlignment="1">
      <alignment horizontal="left" vertical="center" indent="1"/>
    </xf>
    <xf numFmtId="0" fontId="6" fillId="4" borderId="16" xfId="17" applyFont="1" applyBorder="1" applyAlignment="1">
      <alignment horizontal="left" vertical="center" indent="1"/>
    </xf>
    <xf numFmtId="0" fontId="6" fillId="4" borderId="22" xfId="17" applyFont="1" applyBorder="1" applyAlignment="1">
      <alignment horizontal="left" indent="1"/>
    </xf>
    <xf numFmtId="0" fontId="6" fillId="4" borderId="19" xfId="17" applyFont="1" applyBorder="1" applyAlignment="1">
      <alignment horizontal="left" vertical="center" indent="1"/>
    </xf>
    <xf numFmtId="0" fontId="6" fillId="4" borderId="32" xfId="17" applyFont="1" applyBorder="1" applyAlignment="1">
      <alignment horizontal="left" indent="1"/>
    </xf>
    <xf numFmtId="0" fontId="18" fillId="8" borderId="0" xfId="0" applyFont="1"/>
    <xf numFmtId="3" fontId="19" fillId="5" borderId="12" xfId="13" applyFont="1" applyBorder="1" applyAlignment="1">
      <alignment vertical="center"/>
      <protection locked="0"/>
    </xf>
    <xf numFmtId="3" fontId="19" fillId="5" borderId="18" xfId="13" applyFont="1" applyBorder="1" applyAlignment="1">
      <alignment vertical="center"/>
      <protection locked="0"/>
    </xf>
    <xf numFmtId="3" fontId="19" fillId="5" borderId="18" xfId="13" applyFont="1" applyBorder="1" applyAlignment="1">
      <protection locked="0"/>
    </xf>
    <xf numFmtId="0" fontId="19" fillId="8" borderId="0" xfId="0" applyFont="1" applyAlignment="1">
      <alignment wrapText="1"/>
    </xf>
    <xf numFmtId="0" fontId="20" fillId="3" borderId="38" xfId="16" applyFont="1" applyBorder="1" applyAlignment="1">
      <alignment horizontal="left" wrapText="1"/>
    </xf>
    <xf numFmtId="3" fontId="19" fillId="0" borderId="21" xfId="11" applyFont="1" applyBorder="1" applyAlignment="1" applyProtection="1"/>
    <xf numFmtId="3" fontId="19" fillId="5" borderId="24" xfId="13" applyFont="1" applyBorder="1" applyAlignment="1">
      <protection locked="0"/>
    </xf>
    <xf numFmtId="0" fontId="20" fillId="3" borderId="38" xfId="16" applyFont="1" applyBorder="1" applyAlignment="1">
      <alignment horizontal="left"/>
    </xf>
    <xf numFmtId="3" fontId="19" fillId="5" borderId="25" xfId="13" applyFont="1" applyBorder="1" applyAlignment="1">
      <protection locked="0"/>
    </xf>
    <xf numFmtId="3" fontId="19" fillId="5" borderId="27" xfId="13" applyFont="1" applyBorder="1" applyAlignment="1">
      <protection locked="0"/>
    </xf>
    <xf numFmtId="3" fontId="19" fillId="5" borderId="25" xfId="13" applyFont="1" applyBorder="1" applyAlignment="1">
      <alignment vertical="center"/>
      <protection locked="0"/>
    </xf>
    <xf numFmtId="3" fontId="19" fillId="5" borderId="27" xfId="13" applyFont="1" applyBorder="1" applyAlignment="1">
      <alignment vertical="center"/>
      <protection locked="0"/>
    </xf>
    <xf numFmtId="3" fontId="19" fillId="5" borderId="29" xfId="13" applyFont="1" applyBorder="1" applyAlignment="1">
      <protection locked="0"/>
    </xf>
    <xf numFmtId="3" fontId="19" fillId="5" borderId="31" xfId="13" applyFont="1" applyBorder="1" applyAlignment="1">
      <protection locked="0"/>
    </xf>
    <xf numFmtId="3" fontId="19" fillId="5" borderId="33" xfId="13" applyFont="1" applyBorder="1" applyAlignment="1">
      <protection locked="0"/>
    </xf>
    <xf numFmtId="0" fontId="22" fillId="6" borderId="0" xfId="10" applyFont="1" applyAlignment="1">
      <alignment horizontal="left"/>
    </xf>
    <xf numFmtId="0" fontId="22" fillId="6" borderId="0" xfId="10" applyFont="1" applyAlignment="1">
      <alignment horizontal="right"/>
    </xf>
    <xf numFmtId="0" fontId="6" fillId="4" borderId="0" xfId="17" applyBorder="1" applyAlignment="1">
      <alignment horizontal="left" vertical="center"/>
    </xf>
    <xf numFmtId="0" fontId="6" fillId="4" borderId="39" xfId="17" applyBorder="1" applyAlignment="1">
      <alignment horizontal="left" vertical="center" indent="1"/>
    </xf>
    <xf numFmtId="4" fontId="3" fillId="0" borderId="0" xfId="11" applyNumberFormat="1" applyBorder="1" applyAlignment="1" applyProtection="1">
      <alignment horizontal="center" vertical="center"/>
    </xf>
    <xf numFmtId="9" fontId="0" fillId="8" borderId="0" xfId="0" applyNumberFormat="1"/>
    <xf numFmtId="0" fontId="6" fillId="4" borderId="30" xfId="17" applyFont="1" applyBorder="1">
      <alignment horizontal="left" indent="1"/>
    </xf>
    <xf numFmtId="3" fontId="19" fillId="0" borderId="40" xfId="11" applyFont="1" applyBorder="1" applyAlignment="1" applyProtection="1"/>
    <xf numFmtId="0" fontId="0" fillId="8" borderId="0" xfId="0" applyFill="1"/>
    <xf numFmtId="9" fontId="0" fillId="8" borderId="0" xfId="2" applyFont="1" applyFill="1"/>
    <xf numFmtId="0" fontId="2" fillId="8" borderId="0" xfId="0" applyFont="1" applyFill="1"/>
    <xf numFmtId="0" fontId="21" fillId="8" borderId="0" xfId="0" applyFont="1" applyFill="1" applyAlignment="1">
      <alignment horizontal="centerContinuous"/>
    </xf>
    <xf numFmtId="0" fontId="1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9" fontId="16" fillId="8" borderId="0" xfId="0" applyNumberFormat="1" applyFont="1" applyFill="1" applyAlignment="1">
      <alignment horizontal="center" vertical="center"/>
    </xf>
    <xf numFmtId="9" fontId="16" fillId="8" borderId="0" xfId="0" applyNumberFormat="1" applyFont="1" applyFill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168" fontId="16" fillId="8" borderId="0" xfId="0" applyNumberFormat="1" applyFont="1" applyFill="1" applyAlignment="1">
      <alignment horizontal="center" vertical="center"/>
    </xf>
    <xf numFmtId="168" fontId="16" fillId="8" borderId="0" xfId="0" applyNumberFormat="1" applyFont="1" applyFill="1" applyAlignment="1">
      <alignment horizontal="center" vertical="center"/>
    </xf>
    <xf numFmtId="167" fontId="3" fillId="0" borderId="0" xfId="11" applyNumberFormat="1" applyFont="1" applyBorder="1" applyAlignment="1">
      <alignment horizontal="center" vertical="center"/>
    </xf>
    <xf numFmtId="167" fontId="3" fillId="5" borderId="41" xfId="13" applyNumberFormat="1" applyFont="1" applyBorder="1" applyAlignment="1">
      <alignment horizontal="center" vertical="center"/>
      <protection locked="0"/>
    </xf>
    <xf numFmtId="3" fontId="3" fillId="0" borderId="0" xfId="11" applyBorder="1" applyAlignment="1">
      <alignment horizontal="center" vertical="center"/>
    </xf>
    <xf numFmtId="167" fontId="3" fillId="5" borderId="43" xfId="13" applyNumberFormat="1" applyBorder="1" applyAlignment="1">
      <alignment horizontal="center"/>
      <protection locked="0"/>
    </xf>
    <xf numFmtId="166" fontId="3" fillId="0" borderId="0" xfId="11" applyNumberFormat="1" applyBorder="1" applyAlignment="1">
      <alignment horizontal="center" vertical="center"/>
    </xf>
    <xf numFmtId="167" fontId="3" fillId="0" borderId="0" xfId="11" applyNumberFormat="1" applyBorder="1" applyAlignment="1">
      <alignment horizontal="center" vertical="center"/>
    </xf>
    <xf numFmtId="0" fontId="3" fillId="5" borderId="2" xfId="20" applyNumberFormat="1" applyFont="1" applyFill="1" applyBorder="1" applyAlignment="1" applyProtection="1">
      <alignment horizontal="right"/>
      <protection locked="0"/>
    </xf>
    <xf numFmtId="10" fontId="3" fillId="5" borderId="2" xfId="2" applyNumberFormat="1" applyFont="1" applyFill="1" applyBorder="1" applyAlignment="1" applyProtection="1">
      <alignment horizontal="right"/>
      <protection locked="0"/>
    </xf>
    <xf numFmtId="0" fontId="6" fillId="4" borderId="0" xfId="17" applyBorder="1">
      <alignment horizontal="left" indent="1"/>
    </xf>
    <xf numFmtId="3" fontId="19" fillId="5" borderId="46" xfId="13" applyFont="1" applyBorder="1" applyAlignment="1">
      <alignment vertical="center"/>
      <protection locked="0"/>
    </xf>
    <xf numFmtId="3" fontId="19" fillId="0" borderId="45" xfId="11" applyFont="1" applyBorder="1" applyAlignment="1" applyProtection="1"/>
    <xf numFmtId="170" fontId="3" fillId="0" borderId="4" xfId="11" applyNumberFormat="1" applyAlignment="1" applyProtection="1">
      <alignment horizontal="center" vertical="center"/>
    </xf>
    <xf numFmtId="170" fontId="3" fillId="0" borderId="47" xfId="11" applyNumberFormat="1" applyBorder="1" applyAlignment="1" applyProtection="1">
      <alignment horizontal="center" vertical="center"/>
    </xf>
    <xf numFmtId="10" fontId="3" fillId="5" borderId="49" xfId="2" applyNumberFormat="1" applyFont="1" applyFill="1" applyBorder="1" applyAlignment="1" applyProtection="1">
      <alignment horizontal="center" vertical="center"/>
      <protection locked="0"/>
    </xf>
    <xf numFmtId="170" fontId="3" fillId="0" borderId="50" xfId="11" applyNumberFormat="1" applyBorder="1" applyAlignment="1" applyProtection="1">
      <alignment horizontal="center" vertical="center"/>
    </xf>
    <xf numFmtId="0" fontId="5" fillId="3" borderId="0" xfId="16" applyAlignment="1">
      <alignment horizontal="center" vertical="center"/>
    </xf>
    <xf numFmtId="10" fontId="3" fillId="5" borderId="2" xfId="2" applyNumberFormat="1" applyFont="1" applyFill="1" applyBorder="1" applyAlignment="1" applyProtection="1">
      <alignment vertical="center"/>
      <protection locked="0"/>
    </xf>
    <xf numFmtId="167" fontId="0" fillId="8" borderId="0" xfId="0" applyNumberFormat="1" applyFont="1" applyProtection="1"/>
    <xf numFmtId="3" fontId="19" fillId="0" borderId="51" xfId="11" applyFont="1" applyBorder="1" applyAlignment="1" applyProtection="1"/>
    <xf numFmtId="3" fontId="19" fillId="5" borderId="52" xfId="13" applyFont="1" applyBorder="1" applyAlignment="1">
      <alignment vertical="center"/>
      <protection locked="0"/>
    </xf>
    <xf numFmtId="167" fontId="3" fillId="7" borderId="44" xfId="17" applyNumberFormat="1" applyFont="1" applyFill="1" applyBorder="1" applyAlignment="1">
      <alignment horizontal="center"/>
    </xf>
    <xf numFmtId="167" fontId="3" fillId="7" borderId="42" xfId="17" applyNumberFormat="1" applyFont="1" applyFill="1" applyBorder="1" applyAlignment="1">
      <alignment horizontal="center"/>
    </xf>
    <xf numFmtId="166" fontId="3" fillId="0" borderId="53" xfId="11" applyNumberFormat="1" applyBorder="1" applyAlignment="1">
      <alignment horizontal="center" vertical="center"/>
    </xf>
    <xf numFmtId="167" fontId="3" fillId="0" borderId="53" xfId="11" applyNumberFormat="1" applyBorder="1" applyAlignment="1">
      <alignment horizontal="center" vertical="center"/>
    </xf>
    <xf numFmtId="3" fontId="3" fillId="0" borderId="53" xfId="11" applyBorder="1" applyAlignment="1">
      <alignment horizontal="center" vertical="center"/>
    </xf>
    <xf numFmtId="4" fontId="3" fillId="0" borderId="9" xfId="11" applyNumberFormat="1" applyBorder="1" applyAlignment="1" applyProtection="1">
      <alignment horizontal="center" vertical="center"/>
    </xf>
    <xf numFmtId="4" fontId="3" fillId="0" borderId="53" xfId="11" applyNumberFormat="1" applyBorder="1" applyAlignment="1" applyProtection="1">
      <alignment horizontal="center" vertical="center"/>
    </xf>
    <xf numFmtId="167" fontId="13" fillId="7" borderId="54" xfId="17" applyNumberFormat="1" applyFont="1" applyFill="1" applyBorder="1" applyAlignment="1">
      <alignment horizontal="center"/>
    </xf>
    <xf numFmtId="3" fontId="3" fillId="0" borderId="4" xfId="11" applyAlignment="1">
      <alignment horizontal="center"/>
    </xf>
    <xf numFmtId="3" fontId="3" fillId="0" borderId="4" xfId="11" applyAlignment="1" applyProtection="1">
      <alignment horizontal="center"/>
    </xf>
    <xf numFmtId="3" fontId="3" fillId="0" borderId="9" xfId="11" applyBorder="1" applyAlignment="1" applyProtection="1">
      <alignment horizontal="center"/>
    </xf>
    <xf numFmtId="3" fontId="3" fillId="0" borderId="55" xfId="11" applyBorder="1" applyAlignment="1" applyProtection="1">
      <alignment horizontal="center"/>
    </xf>
    <xf numFmtId="3" fontId="3" fillId="0" borderId="56" xfId="11" applyBorder="1" applyAlignment="1" applyProtection="1">
      <alignment horizontal="center"/>
    </xf>
    <xf numFmtId="167" fontId="13" fillId="7" borderId="54" xfId="17" applyNumberFormat="1" applyFont="1" applyFill="1" applyBorder="1" applyAlignment="1" applyProtection="1">
      <alignment horizontal="center"/>
    </xf>
    <xf numFmtId="10" fontId="3" fillId="0" borderId="4" xfId="11" applyNumberFormat="1" applyAlignment="1">
      <alignment horizontal="center"/>
    </xf>
    <xf numFmtId="174" fontId="3" fillId="0" borderId="9" xfId="11" applyNumberFormat="1" applyBorder="1" applyAlignment="1">
      <alignment horizontal="center"/>
    </xf>
    <xf numFmtId="166" fontId="3" fillId="0" borderId="4" xfId="11" applyNumberFormat="1" applyAlignment="1">
      <alignment horizontal="center"/>
    </xf>
    <xf numFmtId="167" fontId="3" fillId="0" borderId="4" xfId="11" applyNumberFormat="1" applyAlignment="1">
      <alignment horizontal="center"/>
    </xf>
    <xf numFmtId="3" fontId="3" fillId="0" borderId="48" xfId="11" applyBorder="1" applyAlignment="1" applyProtection="1">
      <alignment horizontal="center"/>
    </xf>
    <xf numFmtId="0" fontId="6" fillId="4" borderId="39" xfId="17" applyBorder="1">
      <alignment horizontal="left" indent="1"/>
    </xf>
    <xf numFmtId="167" fontId="3" fillId="5" borderId="58" xfId="13" applyNumberFormat="1" applyBorder="1" applyAlignment="1">
      <alignment horizontal="center"/>
      <protection locked="0"/>
    </xf>
    <xf numFmtId="167" fontId="3" fillId="5" borderId="59" xfId="13" applyNumberFormat="1" applyBorder="1" applyAlignment="1">
      <alignment horizontal="center"/>
      <protection locked="0"/>
    </xf>
    <xf numFmtId="167" fontId="3" fillId="0" borderId="9" xfId="11" applyNumberFormat="1" applyBorder="1" applyAlignment="1">
      <alignment horizontal="center"/>
    </xf>
    <xf numFmtId="0" fontId="17" fillId="4" borderId="57" xfId="17" applyFont="1" applyBorder="1" applyAlignment="1">
      <alignment horizontal="left"/>
    </xf>
    <xf numFmtId="2" fontId="16" fillId="8" borderId="0" xfId="0" applyNumberFormat="1" applyFont="1" applyFill="1" applyAlignment="1">
      <alignment horizontal="center" vertical="center"/>
    </xf>
    <xf numFmtId="168" fontId="16" fillId="8" borderId="0" xfId="0" applyNumberFormat="1" applyFont="1" applyFill="1" applyAlignment="1">
      <alignment vertical="center"/>
    </xf>
    <xf numFmtId="0" fontId="0" fillId="8" borderId="0" xfId="0" applyFill="1" applyAlignment="1"/>
    <xf numFmtId="8" fontId="0" fillId="8" borderId="0" xfId="0" applyNumberFormat="1" applyFill="1"/>
    <xf numFmtId="0" fontId="24" fillId="8" borderId="0" xfId="0" applyFont="1" applyAlignment="1">
      <alignment horizontal="right" vertical="center"/>
    </xf>
    <xf numFmtId="0" fontId="25" fillId="8" borderId="0" xfId="0" applyFont="1"/>
    <xf numFmtId="3" fontId="3" fillId="5" borderId="2" xfId="13" applyAlignment="1" applyProtection="1">
      <alignment vertical="center"/>
      <protection locked="0"/>
    </xf>
    <xf numFmtId="167" fontId="3" fillId="5" borderId="2" xfId="13" applyNumberFormat="1" applyAlignment="1" applyProtection="1">
      <alignment vertical="center"/>
      <protection locked="0"/>
    </xf>
    <xf numFmtId="167" fontId="3" fillId="5" borderId="2" xfId="13" applyNumberFormat="1" applyProtection="1">
      <protection locked="0"/>
    </xf>
    <xf numFmtId="3" fontId="3" fillId="5" borderId="2" xfId="13" applyProtection="1">
      <protection locked="0"/>
    </xf>
    <xf numFmtId="3" fontId="3" fillId="5" borderId="20" xfId="13" applyFont="1" applyBorder="1" applyAlignment="1" applyProtection="1">
      <alignment horizontal="center"/>
      <protection locked="0"/>
    </xf>
    <xf numFmtId="167" fontId="3" fillId="5" borderId="20" xfId="13" applyNumberFormat="1" applyBorder="1" applyAlignment="1" applyProtection="1">
      <alignment horizontal="center"/>
      <protection locked="0"/>
    </xf>
    <xf numFmtId="167" fontId="3" fillId="5" borderId="2" xfId="13" applyNumberFormat="1" applyBorder="1" applyAlignment="1" applyProtection="1">
      <alignment horizontal="center"/>
      <protection locked="0"/>
    </xf>
    <xf numFmtId="167" fontId="3" fillId="5" borderId="58" xfId="13" applyNumberFormat="1" applyBorder="1" applyAlignment="1" applyProtection="1">
      <alignment horizontal="center"/>
      <protection locked="0"/>
    </xf>
    <xf numFmtId="3" fontId="3" fillId="5" borderId="2" xfId="13" applyBorder="1" applyAlignment="1" applyProtection="1">
      <alignment horizontal="center" vertical="center"/>
      <protection locked="0"/>
    </xf>
  </cellXfs>
  <cellStyles count="21">
    <cellStyle name="Calculation" xfId="8" builtinId="22" customBuiltin="1"/>
    <cellStyle name="Comma" xfId="20" builtinId="3"/>
    <cellStyle name="Currency" xfId="1" builtinId="4"/>
    <cellStyle name="Heading 1" xfId="4" builtinId="16" customBuiltin="1"/>
    <cellStyle name="Heading 2" xfId="5" builtinId="17" customBuiltin="1"/>
    <cellStyle name="Heading 3" xfId="6" builtinId="18" customBuiltin="1"/>
    <cellStyle name="Input" xfId="7" builtinId="20" customBuiltin="1"/>
    <cellStyle name="Normal" xfId="0" builtinId="0" customBuiltin="1"/>
    <cellStyle name="Percent" xfId="2" builtinId="5"/>
    <cellStyle name="Ti-Column" xfId="10" xr:uid="{DA7F1C53-B915-4157-8986-540F955EB18E}"/>
    <cellStyle name="Ti-D-Actuals" xfId="11" xr:uid="{A38249FF-0337-4972-A43B-4E6B5A3DC372}"/>
    <cellStyle name="Ti-D-Calc" xfId="12" xr:uid="{814A5AE3-796F-4F02-B301-A4AFD46C8467}"/>
    <cellStyle name="Ti-D-Input" xfId="13" xr:uid="{CB9C9984-2496-4B3A-958C-443A7E28887B}"/>
    <cellStyle name="Ti-d-other" xfId="14" xr:uid="{4225B9DB-7306-4AA8-BF45-6AFBE42648E1}"/>
    <cellStyle name="Ti-H1" xfId="15" xr:uid="{53D3EFB8-E3FF-4D44-A74C-06B1C9176B48}"/>
    <cellStyle name="Ti-H2" xfId="16" xr:uid="{99D23F93-F72E-47E1-94FD-38CC034B06E8}"/>
    <cellStyle name="Ti-H3" xfId="17" xr:uid="{E97A4DE0-689C-4106-9BA7-A35914ABCEB0}"/>
    <cellStyle name="Ti-Title" xfId="18" xr:uid="{4E86AD05-7420-42B9-B82C-A4E2C5057063}"/>
    <cellStyle name="Title" xfId="3" builtinId="15" customBuiltin="1"/>
    <cellStyle name="Ti-Total" xfId="19" xr:uid="{380DF8E8-C263-40BC-8127-F6B9FFE159B2}"/>
    <cellStyle name="Total" xfId="9" builtinId="25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F612A"/>
      <color rgb="FFFAF6F6"/>
      <color rgb="FFED7D31"/>
      <color rgb="FF1A3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en-CA" sz="1400" b="1">
                <a:solidFill>
                  <a:schemeClr val="tx1"/>
                </a:solidFill>
                <a:latin typeface="Roboto Condensed" panose="02000000000000000000" pitchFamily="2" charset="0"/>
                <a:ea typeface="Roboto Condensed" panose="02000000000000000000" pitchFamily="2" charset="0"/>
              </a:rPr>
              <a:t>Discounted Cash Flows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/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F612A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Summary!$C$5:$G$5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Summary!$C$24:$G$24</c:f>
              <c:numCache>
                <c:formatCode>"$"#,##0_);[Red]\("$"#,##0\)</c:formatCode>
                <c:ptCount val="5"/>
                <c:pt idx="0">
                  <c:v>-50403.5</c:v>
                </c:pt>
                <c:pt idx="1">
                  <c:v>135622.44444444444</c:v>
                </c:pt>
                <c:pt idx="2">
                  <c:v>133280.76543209873</c:v>
                </c:pt>
                <c:pt idx="3">
                  <c:v>130563.06401463192</c:v>
                </c:pt>
                <c:pt idx="4">
                  <c:v>127536.71714169586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4-43BC-8B20-91E761A7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17111103"/>
        <c:axId val="463512223"/>
      </c:barChart>
      <c:catAx>
        <c:axId val="31711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512223"/>
        <c:crosses val="autoZero"/>
        <c:auto val="1"/>
        <c:lblAlgn val="ctr"/>
        <c:lblOffset val="100"/>
        <c:noMultiLvlLbl val="0"/>
      </c:catAx>
      <c:valAx>
        <c:axId val="46351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endParaRPr lang="en-US"/>
          </a:p>
        </c:txPr>
        <c:crossAx val="31711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Roboto Condensed" panose="02000000000000000000" pitchFamily="2" charset="0"/>
                <a:ea typeface="Roboto Condensed" panose="02000000000000000000" pitchFamily="2" charset="0"/>
                <a:cs typeface="+mn-cs"/>
              </a:defRPr>
            </a:pPr>
            <a:r>
              <a:rPr lang="en-CA" b="1">
                <a:solidFill>
                  <a:schemeClr val="tx1"/>
                </a:solidFill>
                <a:latin typeface="Roboto Condensed" panose="02000000000000000000" pitchFamily="2" charset="0"/>
                <a:ea typeface="Roboto Condensed" panose="02000000000000000000" pitchFamily="2" charset="0"/>
              </a:rPr>
              <a:t>Benefits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Roboto Condensed" panose="02000000000000000000" pitchFamily="2" charset="0"/>
              <a:ea typeface="Roboto Condensed" panose="02000000000000000000" pitchFamily="2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Summary!$B$44:$B$48</c:f>
              <c:strCache>
                <c:ptCount val="5"/>
                <c:pt idx="0">
                  <c:v>Business Performance</c:v>
                </c:pt>
                <c:pt idx="1">
                  <c:v>Labor Savings</c:v>
                </c:pt>
                <c:pt idx="2">
                  <c:v>Deprecated Systems</c:v>
                </c:pt>
                <c:pt idx="3">
                  <c:v>Employee Retention</c:v>
                </c:pt>
                <c:pt idx="4">
                  <c:v>Risk Mitigation</c:v>
                </c:pt>
              </c:strCache>
            </c:strRef>
          </c:cat>
          <c:val>
            <c:numRef>
              <c:f>Summary!$H$6:$H$10</c:f>
              <c:numCache>
                <c:formatCode>"$"#,##0_);[Red]\("$"#,##0\)</c:formatCode>
                <c:ptCount val="5"/>
                <c:pt idx="0">
                  <c:v>801000</c:v>
                </c:pt>
                <c:pt idx="1">
                  <c:v>238101.07816992002</c:v>
                </c:pt>
                <c:pt idx="2">
                  <c:v>59448.481920000006</c:v>
                </c:pt>
                <c:pt idx="3">
                  <c:v>53081.209631999998</c:v>
                </c:pt>
                <c:pt idx="4">
                  <c:v>23750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0-4E93-8E02-468A7CB3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704461427348319E-2"/>
          <c:y val="0.33215104131945061"/>
          <c:w val="0.33031054668964416"/>
          <c:h val="0.33165387872841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titaniumfinance.io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itaniumfinance.io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itaniumfinance.io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itaniumfinance.i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27</xdr:row>
      <xdr:rowOff>9525</xdr:rowOff>
    </xdr:from>
    <xdr:to>
      <xdr:col>8</xdr:col>
      <xdr:colOff>19050</xdr:colOff>
      <xdr:row>39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BB051A-48C0-4FCB-89AB-17EEDB229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209550</xdr:colOff>
      <xdr:row>0</xdr:row>
      <xdr:rowOff>152400</xdr:rowOff>
    </xdr:from>
    <xdr:to>
      <xdr:col>8</xdr:col>
      <xdr:colOff>57150</xdr:colOff>
      <xdr:row>2</xdr:row>
      <xdr:rowOff>77391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74E15-DA52-4431-8029-EA0DA7FDA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152400"/>
          <a:ext cx="1295400" cy="506016"/>
        </a:xfrm>
        <a:prstGeom prst="rect">
          <a:avLst/>
        </a:prstGeom>
      </xdr:spPr>
    </xdr:pic>
    <xdr:clientData/>
  </xdr:twoCellAnchor>
  <xdr:twoCellAnchor>
    <xdr:from>
      <xdr:col>8</xdr:col>
      <xdr:colOff>90486</xdr:colOff>
      <xdr:row>21</xdr:row>
      <xdr:rowOff>19049</xdr:rowOff>
    </xdr:from>
    <xdr:to>
      <xdr:col>17</xdr:col>
      <xdr:colOff>38100</xdr:colOff>
      <xdr:row>39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D75D7B-F74D-4D5C-90CF-77530165C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4914900</xdr:colOff>
      <xdr:row>0</xdr:row>
      <xdr:rowOff>114300</xdr:rowOff>
    </xdr:from>
    <xdr:to>
      <xdr:col>9</xdr:col>
      <xdr:colOff>38100</xdr:colOff>
      <xdr:row>2</xdr:row>
      <xdr:rowOff>39291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7B0BFA-7134-4D0F-985E-491AC13CE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114300"/>
          <a:ext cx="1295400" cy="506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2581275</xdr:colOff>
      <xdr:row>0</xdr:row>
      <xdr:rowOff>152400</xdr:rowOff>
    </xdr:from>
    <xdr:to>
      <xdr:col>10</xdr:col>
      <xdr:colOff>76200</xdr:colOff>
      <xdr:row>2</xdr:row>
      <xdr:rowOff>77391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149828-51AD-48E5-AE1E-70B3331E5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152400"/>
          <a:ext cx="1295400" cy="506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1781175</xdr:colOff>
      <xdr:row>0</xdr:row>
      <xdr:rowOff>171450</xdr:rowOff>
    </xdr:from>
    <xdr:to>
      <xdr:col>3</xdr:col>
      <xdr:colOff>47625</xdr:colOff>
      <xdr:row>2</xdr:row>
      <xdr:rowOff>96441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23D94-79CC-4DB2-80C0-4324BBFA6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71450"/>
          <a:ext cx="1295400" cy="506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22E5-3D65-4D46-8851-56D7D73B5DEE}">
  <dimension ref="B2:V48"/>
  <sheetViews>
    <sheetView showGridLines="0" showRowColHeaders="0" tabSelected="1" workbookViewId="0"/>
  </sheetViews>
  <sheetFormatPr defaultRowHeight="15" x14ac:dyDescent="0.3"/>
  <cols>
    <col min="1" max="1" width="2.75" customWidth="1"/>
    <col min="2" max="2" width="37.375" customWidth="1"/>
    <col min="3" max="8" width="9.5" customWidth="1"/>
    <col min="9" max="9" width="9.25" customWidth="1"/>
    <col min="10" max="17" width="7.75" customWidth="1"/>
    <col min="18" max="18" width="9.625" bestFit="1" customWidth="1"/>
  </cols>
  <sheetData>
    <row r="2" spans="2:22" ht="30.75" x14ac:dyDescent="0.45">
      <c r="B2" s="17" t="s">
        <v>82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2:22" ht="15" customHeight="1" x14ac:dyDescent="0.45">
      <c r="B3" s="17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22" hidden="1" x14ac:dyDescent="0.3">
      <c r="C4">
        <f>INT(RIGHT(C5, 1))</f>
        <v>1</v>
      </c>
      <c r="D4">
        <f t="shared" ref="D4:G4" si="0">INT(RIGHT(D5, 1))</f>
        <v>2</v>
      </c>
      <c r="E4">
        <f t="shared" si="0"/>
        <v>3</v>
      </c>
      <c r="F4">
        <f t="shared" si="0"/>
        <v>4</v>
      </c>
      <c r="G4">
        <f t="shared" si="0"/>
        <v>5</v>
      </c>
      <c r="I4" s="114"/>
      <c r="J4" s="114"/>
      <c r="K4" s="114"/>
      <c r="L4" s="115"/>
      <c r="M4" s="114"/>
      <c r="N4" s="114"/>
      <c r="O4" s="114"/>
      <c r="P4" s="114"/>
      <c r="Q4" s="114"/>
      <c r="R4" s="114"/>
    </row>
    <row r="5" spans="2:22" ht="18" x14ac:dyDescent="0.35">
      <c r="B5" s="106" t="s">
        <v>86</v>
      </c>
      <c r="C5" s="107" t="s">
        <v>29</v>
      </c>
      <c r="D5" s="107" t="s">
        <v>30</v>
      </c>
      <c r="E5" s="107" t="s">
        <v>31</v>
      </c>
      <c r="F5" s="107" t="s">
        <v>56</v>
      </c>
      <c r="G5" s="107" t="s">
        <v>57</v>
      </c>
      <c r="H5" s="107" t="s">
        <v>0</v>
      </c>
      <c r="I5" s="116"/>
      <c r="J5" s="117" t="s">
        <v>113</v>
      </c>
      <c r="K5" s="118"/>
      <c r="L5" s="119"/>
      <c r="M5" s="171"/>
      <c r="N5" s="117" t="s">
        <v>28</v>
      </c>
      <c r="O5" s="118"/>
      <c r="P5" s="119"/>
      <c r="Q5" s="171"/>
      <c r="R5" s="114"/>
    </row>
    <row r="6" spans="2:22" ht="15.75" customHeight="1" x14ac:dyDescent="0.3">
      <c r="B6" s="13" t="s">
        <v>88</v>
      </c>
      <c r="C6" s="38">
        <f>'Project Benefits'!C13*((12-ProjectLength)/12)</f>
        <v>112500</v>
      </c>
      <c r="D6" s="38">
        <f>IF(varYears&gt;=D$4, 'Project Benefits'!D$13*(1+Inflation), 0)</f>
        <v>160650</v>
      </c>
      <c r="E6" s="38">
        <f>IF(varYears&gt;=E$4, 'Project Benefits'!E$13*(1+Inflation), 0)</f>
        <v>168300</v>
      </c>
      <c r="F6" s="38">
        <f>IF(varYears&gt;=F$4, 'Project Benefits'!F$13*(1+Inflation), 0)</f>
        <v>175950</v>
      </c>
      <c r="G6" s="38">
        <f>IF(varYears&gt;=G$4, 'Project Benefits'!G$13*(1+Inflation), 0)</f>
        <v>183600</v>
      </c>
      <c r="H6" s="44">
        <f>SUM(C6:G6)</f>
        <v>801000</v>
      </c>
      <c r="I6" s="114"/>
      <c r="J6" s="123">
        <f>H24</f>
        <v>476599.49103287095</v>
      </c>
      <c r="K6" s="123"/>
      <c r="L6" s="123"/>
      <c r="M6" s="170"/>
      <c r="N6" s="120">
        <f>IFERROR(H24/H23,0)</f>
        <v>0.91085062683528673</v>
      </c>
      <c r="O6" s="120"/>
      <c r="P6" s="120"/>
      <c r="Q6" s="121"/>
      <c r="R6" s="114"/>
    </row>
    <row r="7" spans="2:22" ht="15.75" customHeight="1" x14ac:dyDescent="0.3">
      <c r="B7" s="13" t="s">
        <v>136</v>
      </c>
      <c r="C7" s="38">
        <f>'Project Benefits'!$C$23*((12-ProjectLength)/12)</f>
        <v>36046.5</v>
      </c>
      <c r="D7" s="38">
        <f>IF(varYears&gt;=D$4, 'Project Benefits'!$C$23*(1+Assumptions!$C$9), 0)</f>
        <v>49023.24</v>
      </c>
      <c r="E7" s="38">
        <f>IF(varYears&gt;=E$4, D7*(1+Assumptions!$C$9), 0)</f>
        <v>50003.7048</v>
      </c>
      <c r="F7" s="38">
        <f>IF(varYears&gt;=F$4, E7*(1+Assumptions!$C$9), 0)</f>
        <v>51003.778896000003</v>
      </c>
      <c r="G7" s="38">
        <f>IF(varYears&gt;=G$4, F7*(1+Assumptions!$C$9), 0)</f>
        <v>52023.854473920008</v>
      </c>
      <c r="H7" s="44">
        <f>SUM(C7:G7)</f>
        <v>238101.07816992002</v>
      </c>
      <c r="I7" s="114"/>
      <c r="J7" s="123"/>
      <c r="K7" s="123"/>
      <c r="L7" s="123"/>
      <c r="M7" s="170"/>
      <c r="N7" s="120"/>
      <c r="O7" s="120"/>
      <c r="P7" s="120"/>
      <c r="Q7" s="121"/>
      <c r="R7" s="114"/>
      <c r="T7" s="111"/>
    </row>
    <row r="8" spans="2:22" ht="15.75" customHeight="1" x14ac:dyDescent="0.3">
      <c r="B8" s="13" t="s">
        <v>80</v>
      </c>
      <c r="C8" s="38">
        <f>'Project Benefits'!$C$29*((12-ProjectLength)/12)</f>
        <v>9000</v>
      </c>
      <c r="D8" s="38">
        <f>IF(varYears&gt;=D$4,'Project Benefits'!$C$29*(1+Inflation), 0)</f>
        <v>12240</v>
      </c>
      <c r="E8" s="38">
        <f>IF(varYears&gt;=E$4, D8*(1+Inflation), 0)</f>
        <v>12484.800000000001</v>
      </c>
      <c r="F8" s="38">
        <f>IF(varYears&gt;=F$4, E8*(1+Inflation), 0)</f>
        <v>12734.496000000001</v>
      </c>
      <c r="G8" s="38">
        <f>IF(varYears&gt;=G$4, F8*(1+Inflation), 0)</f>
        <v>12989.185920000002</v>
      </c>
      <c r="H8" s="44">
        <f>SUM(C8:G8)</f>
        <v>59448.481920000006</v>
      </c>
      <c r="I8" s="114"/>
      <c r="J8" s="123"/>
      <c r="K8" s="123"/>
      <c r="L8" s="123"/>
      <c r="M8" s="170"/>
      <c r="N8" s="120"/>
      <c r="O8" s="120"/>
      <c r="P8" s="120"/>
      <c r="Q8" s="121"/>
      <c r="R8" s="114"/>
      <c r="T8" s="111"/>
    </row>
    <row r="9" spans="2:22" ht="15" customHeight="1" x14ac:dyDescent="0.3">
      <c r="B9" s="13" t="s">
        <v>103</v>
      </c>
      <c r="C9" s="38">
        <f>'Project Benefits'!$C$40</f>
        <v>10200</v>
      </c>
      <c r="D9" s="38">
        <f>IF(varYears&gt;=D$4, C9*(1+Inflation), 0)</f>
        <v>10404</v>
      </c>
      <c r="E9" s="38">
        <f>IF(varYears&gt;=E$4, D9*(1+Inflation), 0)</f>
        <v>10612.08</v>
      </c>
      <c r="F9" s="38">
        <f>IF(varYears&gt;=F$4, E9*(1+Inflation), 0)</f>
        <v>10824.321599999999</v>
      </c>
      <c r="G9" s="38">
        <f>IF(varYears&gt;=G$4, F9*(1+Inflation), 0)</f>
        <v>11040.808031999999</v>
      </c>
      <c r="H9" s="44">
        <f t="shared" ref="H9" si="1">SUM(C9:G9)</f>
        <v>53081.209631999998</v>
      </c>
      <c r="I9" s="114"/>
      <c r="J9" s="114"/>
      <c r="K9" s="114"/>
      <c r="L9" s="114"/>
      <c r="M9" s="114"/>
      <c r="R9" s="114"/>
    </row>
    <row r="10" spans="2:22" ht="18" x14ac:dyDescent="0.35">
      <c r="B10" s="13" t="s">
        <v>104</v>
      </c>
      <c r="C10" s="38">
        <f>'Project Benefits'!C50*((12-ProjectLength)/12)</f>
        <v>3750</v>
      </c>
      <c r="D10" s="38">
        <f>IF(varYears&gt;=D$4, 'Project Benefits'!$C$50, 0)</f>
        <v>5000</v>
      </c>
      <c r="E10" s="38">
        <f>IF(varYears&gt;=E$4, 'Project Benefits'!$C$50, 0)</f>
        <v>5000</v>
      </c>
      <c r="F10" s="38">
        <f>IF(varYears&gt;=F$4, 'Project Benefits'!$C$50, 0)</f>
        <v>5000</v>
      </c>
      <c r="G10" s="38">
        <f>IF(varYears&gt;=G$4, 'Project Benefits'!$C$50, 0)</f>
        <v>5000</v>
      </c>
      <c r="H10" s="44">
        <f>SUM(C10:G10)</f>
        <v>23750</v>
      </c>
      <c r="I10" s="114"/>
      <c r="J10" s="117"/>
      <c r="K10" s="118"/>
      <c r="L10" s="119"/>
      <c r="O10" s="118"/>
      <c r="P10" s="119"/>
      <c r="Q10" s="114"/>
      <c r="R10" s="114"/>
    </row>
    <row r="11" spans="2:22" ht="15.75" customHeight="1" x14ac:dyDescent="0.35">
      <c r="B11" s="16" t="s">
        <v>6</v>
      </c>
      <c r="C11" s="23">
        <f>SUM(C6:C10)</f>
        <v>171496.5</v>
      </c>
      <c r="D11" s="23">
        <f>SUM(D6:D10)</f>
        <v>237317.24</v>
      </c>
      <c r="E11" s="23">
        <f>SUM(E6:E10)</f>
        <v>246400.58479999998</v>
      </c>
      <c r="F11" s="23">
        <f>SUM(F6:F10)</f>
        <v>255512.59649600001</v>
      </c>
      <c r="G11" s="23">
        <f>SUM(G6:G10)</f>
        <v>264653.84842592</v>
      </c>
      <c r="H11" s="23">
        <f>SUM(H6:H10)</f>
        <v>1175380.7697219199</v>
      </c>
      <c r="I11" s="114"/>
      <c r="J11" s="117" t="s">
        <v>125</v>
      </c>
      <c r="K11" s="117"/>
      <c r="L11" s="117"/>
      <c r="N11" s="117" t="s">
        <v>130</v>
      </c>
      <c r="O11" s="117"/>
      <c r="P11" s="117"/>
    </row>
    <row r="12" spans="2:22" ht="17.25" customHeight="1" x14ac:dyDescent="0.3">
      <c r="C12" s="39"/>
      <c r="D12" s="39"/>
      <c r="E12" s="39"/>
      <c r="F12" s="39"/>
      <c r="G12" s="39"/>
      <c r="H12" s="45"/>
      <c r="I12" s="114"/>
      <c r="J12" s="169" t="str">
        <f>IFERROR(IF(H19&lt;0,"N/A",TEXT(MAX(C27:G27),"0.0")&amp;" yrs"),"N/A")</f>
        <v>1.4 yrs</v>
      </c>
      <c r="K12" s="169"/>
      <c r="L12" s="169"/>
      <c r="N12" s="120">
        <f>IFERROR((1+N6)^(1/varYears) - 1, "N/A")</f>
        <v>0.13827015201089332</v>
      </c>
      <c r="O12" s="120"/>
      <c r="P12" s="120"/>
    </row>
    <row r="13" spans="2:22" ht="16.5" customHeight="1" x14ac:dyDescent="0.3">
      <c r="B13" s="106" t="s">
        <v>87</v>
      </c>
      <c r="C13" s="107" t="s">
        <v>29</v>
      </c>
      <c r="D13" s="107" t="s">
        <v>30</v>
      </c>
      <c r="E13" s="107" t="s">
        <v>31</v>
      </c>
      <c r="F13" s="107" t="s">
        <v>56</v>
      </c>
      <c r="G13" s="107" t="s">
        <v>57</v>
      </c>
      <c r="H13" s="107" t="s">
        <v>0</v>
      </c>
      <c r="I13" s="114"/>
      <c r="J13" s="169"/>
      <c r="K13" s="169"/>
      <c r="L13" s="169"/>
      <c r="N13" s="120"/>
      <c r="O13" s="120"/>
      <c r="P13" s="120"/>
      <c r="V13" s="119"/>
    </row>
    <row r="14" spans="2:22" ht="15.75" x14ac:dyDescent="0.3">
      <c r="B14" s="13" t="s">
        <v>22</v>
      </c>
      <c r="C14" s="38">
        <f>'Project Costs'!C6</f>
        <v>80000</v>
      </c>
      <c r="D14" s="38">
        <f>IF(varYears&gt;=D$4,'Project Costs'!D6, 0)</f>
        <v>80000</v>
      </c>
      <c r="E14" s="38">
        <f>IF(varYears&gt;=E$4,'Project Costs'!E6, 0)</f>
        <v>80000</v>
      </c>
      <c r="F14" s="38">
        <f>IF(varYears&gt;=F$4,'Project Costs'!F6, 0)</f>
        <v>80000</v>
      </c>
      <c r="G14" s="38">
        <f>IF(varYears&gt;=G$4,'Project Costs'!G6, 0)</f>
        <v>80000</v>
      </c>
      <c r="H14" s="44">
        <f>SUM(C14:G14)</f>
        <v>400000</v>
      </c>
      <c r="I14" s="114"/>
      <c r="J14" s="169"/>
      <c r="K14" s="169"/>
      <c r="L14" s="169"/>
      <c r="M14" s="114"/>
      <c r="N14" s="120"/>
      <c r="O14" s="120"/>
      <c r="P14" s="120"/>
      <c r="Q14" s="114"/>
      <c r="R14" s="114"/>
      <c r="S14" s="120"/>
      <c r="T14" s="120"/>
      <c r="U14" s="120"/>
      <c r="V14" s="120"/>
    </row>
    <row r="15" spans="2:22" ht="16.5" x14ac:dyDescent="0.3">
      <c r="B15" s="13" t="s">
        <v>23</v>
      </c>
      <c r="C15" s="38">
        <f>SUM('Project Costs'!C11:C12)</f>
        <v>120000</v>
      </c>
      <c r="D15" s="38">
        <f>IF(varYears&gt;=D$4, SUM('Project Costs'!D11:D12), 0)</f>
        <v>6000</v>
      </c>
      <c r="E15" s="38">
        <f>IF(varYears&gt;=E$4, SUM('Project Costs'!E11:E12), 0)</f>
        <v>6000</v>
      </c>
      <c r="F15" s="38">
        <f>IF(varYears&gt;=F$4, SUM('Project Costs'!F11:F12), 0)</f>
        <v>6000</v>
      </c>
      <c r="G15" s="38">
        <f>IF(varYears&gt;=G$4, SUM('Project Costs'!G11:G12), 0)</f>
        <v>6000</v>
      </c>
      <c r="H15" s="44">
        <f>SUM(C15:G15)</f>
        <v>144000</v>
      </c>
      <c r="I15" s="114"/>
      <c r="M15" s="114"/>
      <c r="N15" s="114"/>
      <c r="O15" s="122"/>
      <c r="P15" s="114"/>
      <c r="Q15" s="114"/>
      <c r="R15" s="172"/>
      <c r="S15" s="120"/>
      <c r="T15" s="120"/>
      <c r="U15" s="120"/>
      <c r="V15" s="120"/>
    </row>
    <row r="16" spans="2:22" ht="15.75" customHeight="1" x14ac:dyDescent="0.3">
      <c r="B16" s="13" t="s">
        <v>26</v>
      </c>
      <c r="C16" s="38">
        <f>'Project Costs'!C35</f>
        <v>21900</v>
      </c>
      <c r="D16" s="38">
        <f>IF(varYears&gt;=D$4,'Project Costs'!D35, 0)</f>
        <v>4845</v>
      </c>
      <c r="E16" s="38">
        <f>IF(varYears&gt;=E$4,'Project Costs'!E35, 0)</f>
        <v>4941.9000000000005</v>
      </c>
      <c r="F16" s="38">
        <f>IF(varYears&gt;=F$4,'Project Costs'!F35, 0)</f>
        <v>5040.7380000000003</v>
      </c>
      <c r="G16" s="38">
        <f>IF(varYears&gt;=G$4,'Project Costs'!G35, 0)</f>
        <v>5141.5527600000014</v>
      </c>
      <c r="H16" s="44">
        <f>SUM(C16:G16)</f>
        <v>41869.190759999998</v>
      </c>
      <c r="I16" s="114"/>
      <c r="M16" s="114"/>
      <c r="N16" s="124"/>
      <c r="O16" s="124"/>
      <c r="P16" s="124"/>
      <c r="Q16" s="114"/>
      <c r="R16" s="114"/>
      <c r="S16" s="120"/>
      <c r="T16" s="120"/>
      <c r="U16" s="120"/>
      <c r="V16" s="120"/>
    </row>
    <row r="17" spans="2:22" ht="17.25" customHeight="1" x14ac:dyDescent="0.35">
      <c r="B17" s="16" t="s">
        <v>32</v>
      </c>
      <c r="C17" s="23">
        <f>SUM(C14:C16)</f>
        <v>221900</v>
      </c>
      <c r="D17" s="23">
        <f>SUM(D14:D16)</f>
        <v>90845</v>
      </c>
      <c r="E17" s="23">
        <f>SUM(E14:E16)</f>
        <v>90941.9</v>
      </c>
      <c r="F17" s="23">
        <f>SUM(F14:F16)</f>
        <v>91040.737999999998</v>
      </c>
      <c r="G17" s="23">
        <f>SUM(G14:G16)</f>
        <v>91141.552760000006</v>
      </c>
      <c r="H17" s="23">
        <f>SUM(C17:G17)</f>
        <v>585869.19076000003</v>
      </c>
      <c r="I17" s="114"/>
      <c r="J17" s="117" t="s">
        <v>133</v>
      </c>
      <c r="K17" s="117"/>
      <c r="L17" s="117"/>
      <c r="M17" s="114"/>
      <c r="N17" s="117" t="s">
        <v>132</v>
      </c>
      <c r="O17" s="117"/>
      <c r="P17" s="117"/>
      <c r="Q17" s="114"/>
      <c r="R17" s="114"/>
      <c r="S17" s="114"/>
      <c r="T17" s="114"/>
      <c r="U17" s="114"/>
      <c r="V17" s="114"/>
    </row>
    <row r="18" spans="2:22" ht="3.75" customHeight="1" x14ac:dyDescent="0.3">
      <c r="C18" s="39"/>
      <c r="D18" s="39"/>
      <c r="E18" s="39"/>
      <c r="F18" s="39"/>
      <c r="G18" s="39"/>
      <c r="H18" s="45"/>
      <c r="J18" s="123">
        <f>IFERROR(H22/varYears, "N/A")</f>
        <v>199969.21764302152</v>
      </c>
      <c r="K18" s="123"/>
      <c r="L18" s="123"/>
      <c r="N18" s="123">
        <f>IFERROR(H23/varYears, "N/A")</f>
        <v>104649.31943644732</v>
      </c>
      <c r="O18" s="123"/>
      <c r="P18" s="123"/>
    </row>
    <row r="19" spans="2:22" ht="17.25" customHeight="1" x14ac:dyDescent="0.3">
      <c r="B19" s="16" t="s">
        <v>28</v>
      </c>
      <c r="C19" s="23">
        <f>C11-C17</f>
        <v>-50403.5</v>
      </c>
      <c r="D19" s="23">
        <f>D11-D17</f>
        <v>146472.24</v>
      </c>
      <c r="E19" s="23">
        <f>E11-E17</f>
        <v>155458.68479999999</v>
      </c>
      <c r="F19" s="23">
        <f>F11-F17</f>
        <v>164471.858496</v>
      </c>
      <c r="G19" s="23">
        <f>G11-G17</f>
        <v>173512.29566592001</v>
      </c>
      <c r="H19" s="23">
        <f>SUM(C19:G19)</f>
        <v>589511.57896191999</v>
      </c>
      <c r="J19" s="123"/>
      <c r="K19" s="123"/>
      <c r="L19" s="123"/>
      <c r="N19" s="123"/>
      <c r="O19" s="123"/>
      <c r="P19" s="123"/>
      <c r="R19" s="10"/>
    </row>
    <row r="20" spans="2:22" ht="15" customHeight="1" x14ac:dyDescent="0.3">
      <c r="C20" s="2"/>
      <c r="D20" s="2"/>
      <c r="E20" s="2"/>
      <c r="F20" s="2"/>
      <c r="G20" s="2"/>
      <c r="H20" s="2"/>
      <c r="I20" s="3"/>
      <c r="J20" s="123"/>
      <c r="K20" s="123"/>
      <c r="L20" s="123"/>
      <c r="N20" s="123"/>
      <c r="O20" s="123"/>
      <c r="P20" s="123"/>
    </row>
    <row r="21" spans="2:22" ht="16.5" x14ac:dyDescent="0.3">
      <c r="B21" s="106" t="str">
        <f>"Discounted Cash Flow @ "&amp;TEXT(WACC,"0.0%")</f>
        <v>Discounted Cash Flow @ 8.0%</v>
      </c>
      <c r="C21" s="107" t="s">
        <v>29</v>
      </c>
      <c r="D21" s="107" t="s">
        <v>30</v>
      </c>
      <c r="E21" s="107" t="s">
        <v>31</v>
      </c>
      <c r="F21" s="107" t="s">
        <v>56</v>
      </c>
      <c r="G21" s="107" t="s">
        <v>57</v>
      </c>
      <c r="H21" s="107" t="s">
        <v>0</v>
      </c>
      <c r="I21" s="3"/>
    </row>
    <row r="22" spans="2:22" ht="15.75" customHeight="1" x14ac:dyDescent="0.3">
      <c r="B22" s="13" t="s">
        <v>128</v>
      </c>
      <c r="C22" s="38">
        <f>C11</f>
        <v>171496.5</v>
      </c>
      <c r="D22" s="38">
        <f>D11/(1+WACC)^(D4-1)</f>
        <v>219738.18518518517</v>
      </c>
      <c r="E22" s="38">
        <f>E11/(1+WACC)^(E4-1)</f>
        <v>211248.78669410147</v>
      </c>
      <c r="F22" s="38">
        <f>F11/(1+WACC)^(F4-1)</f>
        <v>202834.13708530203</v>
      </c>
      <c r="G22" s="38">
        <f>G11/(1+WACC)^(G4-1)</f>
        <v>194528.47925051884</v>
      </c>
      <c r="H22" s="44">
        <f t="shared" ref="H22" si="2">SUM(C22:G22)</f>
        <v>999846.08821510756</v>
      </c>
    </row>
    <row r="23" spans="2:22" ht="15.75" customHeight="1" x14ac:dyDescent="0.3">
      <c r="B23" s="13" t="s">
        <v>131</v>
      </c>
      <c r="C23" s="38">
        <f>C17</f>
        <v>221900</v>
      </c>
      <c r="D23" s="38">
        <f>D17/(1+WACC)^(D4-1)</f>
        <v>84115.74074074073</v>
      </c>
      <c r="E23" s="38">
        <f>E17/(1+WACC)^(E4-1)</f>
        <v>77968.021262002731</v>
      </c>
      <c r="F23" s="38">
        <f>F17/(1+WACC)^(F4-1)</f>
        <v>72271.073070670114</v>
      </c>
      <c r="G23" s="38">
        <f>G17/(1+WACC)^(G4-1)</f>
        <v>66991.762108822979</v>
      </c>
      <c r="H23" s="44">
        <f t="shared" ref="H23" si="3">SUM(C23:G23)</f>
        <v>523246.59718223655</v>
      </c>
    </row>
    <row r="24" spans="2:22" ht="15.75" customHeight="1" x14ac:dyDescent="0.3">
      <c r="B24" s="16" t="s">
        <v>129</v>
      </c>
      <c r="C24" s="23">
        <f>C22-C23</f>
        <v>-50403.5</v>
      </c>
      <c r="D24" s="23">
        <f t="shared" ref="D24:G24" si="4">D22-D23</f>
        <v>135622.44444444444</v>
      </c>
      <c r="E24" s="23">
        <f t="shared" si="4"/>
        <v>133280.76543209873</v>
      </c>
      <c r="F24" s="23">
        <f t="shared" si="4"/>
        <v>130563.06401463192</v>
      </c>
      <c r="G24" s="23">
        <f t="shared" si="4"/>
        <v>127536.71714169586</v>
      </c>
      <c r="H24" s="23">
        <f>SUM(C24:G24)</f>
        <v>476599.49103287095</v>
      </c>
    </row>
    <row r="25" spans="2:22" ht="15" hidden="1" customHeight="1" x14ac:dyDescent="0.3">
      <c r="C25" s="2">
        <f>C19</f>
        <v>-50403.5</v>
      </c>
      <c r="D25" s="2">
        <f>D24+C25</f>
        <v>85218.944444444438</v>
      </c>
      <c r="E25" s="2">
        <f t="shared" ref="E25:G25" si="5">E24+D25</f>
        <v>218499.70987654317</v>
      </c>
      <c r="F25" s="2">
        <f t="shared" si="5"/>
        <v>349062.77389117511</v>
      </c>
      <c r="G25" s="2">
        <f t="shared" si="5"/>
        <v>476599.49103287095</v>
      </c>
      <c r="H25" s="2">
        <f>SUM(C25:G25)</f>
        <v>1078977.4192450335</v>
      </c>
      <c r="I25" s="3"/>
    </row>
    <row r="26" spans="2:22" ht="15.75" customHeight="1" x14ac:dyDescent="0.3"/>
    <row r="27" spans="2:22" hidden="1" x14ac:dyDescent="0.3">
      <c r="B27" t="s">
        <v>127</v>
      </c>
      <c r="C27">
        <f>IF(C25&lt;0, 0, C23/C22)</f>
        <v>0</v>
      </c>
      <c r="D27">
        <f>IF(AND(C25&lt;0, D25&gt;0), -C25/D24+D4-1, 0)</f>
        <v>1.3716457125254586</v>
      </c>
      <c r="E27">
        <f>IF(AND(D25&lt;0, E25&gt;0), -D25/E24+E4-1, 0)</f>
        <v>0</v>
      </c>
      <c r="F27">
        <f>IF(AND(E25&lt;0, F25&gt;0), -E25/F24+F4-1, 0)</f>
        <v>0</v>
      </c>
      <c r="G27">
        <f>IF(AND(F25&lt;0, G25&gt;0), -F25/G24+G4-1, 0)</f>
        <v>0</v>
      </c>
      <c r="H27" s="2"/>
    </row>
    <row r="28" spans="2:22" x14ac:dyDescent="0.3">
      <c r="C28" s="111"/>
    </row>
    <row r="31" spans="2:22" x14ac:dyDescent="0.3">
      <c r="D31" s="2"/>
      <c r="E31" s="2"/>
      <c r="F31" s="2"/>
      <c r="G31" s="2"/>
      <c r="H31" s="2"/>
    </row>
    <row r="44" spans="2:2" hidden="1" x14ac:dyDescent="0.3">
      <c r="B44" t="s">
        <v>89</v>
      </c>
    </row>
    <row r="45" spans="2:2" hidden="1" x14ac:dyDescent="0.3">
      <c r="B45" t="s">
        <v>114</v>
      </c>
    </row>
    <row r="46" spans="2:2" hidden="1" x14ac:dyDescent="0.3">
      <c r="B46" t="s">
        <v>115</v>
      </c>
    </row>
    <row r="47" spans="2:2" hidden="1" x14ac:dyDescent="0.3">
      <c r="B47" t="s">
        <v>116</v>
      </c>
    </row>
    <row r="48" spans="2:2" hidden="1" x14ac:dyDescent="0.3">
      <c r="B48" t="s">
        <v>25</v>
      </c>
    </row>
  </sheetData>
  <sheetProtection algorithmName="SHA-512" hashValue="D7lsRH8b1iIltQBP0kQp6tB0S73CIkOPdqTi+fMKL4do3z+Nq+zAWdCrtVWEmZDotkIyWCEB+uYHI434h9rZew==" saltValue="fiHz/WeKtKprD47V1C7yHg==" spinCount="100000" sheet="1" objects="1" scenarios="1"/>
  <mergeCells count="7">
    <mergeCell ref="J18:L20"/>
    <mergeCell ref="N18:P20"/>
    <mergeCell ref="J12:L14"/>
    <mergeCell ref="S14:V16"/>
    <mergeCell ref="J6:L8"/>
    <mergeCell ref="N6:P8"/>
    <mergeCell ref="N12:P14"/>
  </mergeCells>
  <conditionalFormatting sqref="D6:G10">
    <cfRule type="cellIs" dxfId="2" priority="3" operator="equal">
      <formula>0</formula>
    </cfRule>
  </conditionalFormatting>
  <conditionalFormatting sqref="D14:G16">
    <cfRule type="cellIs" dxfId="1" priority="2" operator="equal">
      <formula>0</formula>
    </cfRule>
  </conditionalFormatting>
  <conditionalFormatting sqref="D22:G23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E7:G7 C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6506-2ADE-44F7-925F-FA7AC2C4AD1D}">
  <sheetPr codeName="Sheet1"/>
  <dimension ref="B2:N51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RowHeight="15" x14ac:dyDescent="0.3"/>
  <cols>
    <col min="1" max="1" width="2.75" customWidth="1"/>
    <col min="2" max="2" width="41.875" customWidth="1"/>
    <col min="3" max="8" width="8.75" style="4" customWidth="1"/>
    <col min="9" max="9" width="81" style="11" customWidth="1"/>
    <col min="10" max="10" width="5.5" customWidth="1"/>
    <col min="11" max="11" width="36.75" customWidth="1"/>
    <col min="12" max="12" width="12.25" customWidth="1"/>
    <col min="14" max="16" width="8"/>
  </cols>
  <sheetData>
    <row r="2" spans="2:10" ht="30.75" x14ac:dyDescent="0.45">
      <c r="B2" s="17" t="s">
        <v>36</v>
      </c>
    </row>
    <row r="3" spans="2:10" ht="15.75" customHeight="1" x14ac:dyDescent="0.45">
      <c r="B3" s="17"/>
    </row>
    <row r="4" spans="2:10" ht="18.75" customHeight="1" x14ac:dyDescent="0.45">
      <c r="B4" s="17"/>
      <c r="C4" s="12" t="s">
        <v>29</v>
      </c>
      <c r="D4" s="12" t="s">
        <v>30</v>
      </c>
      <c r="E4" s="12" t="s">
        <v>31</v>
      </c>
      <c r="F4" s="12" t="s">
        <v>56</v>
      </c>
      <c r="G4" s="12" t="s">
        <v>57</v>
      </c>
      <c r="H4" s="37" t="s">
        <v>0</v>
      </c>
      <c r="I4" s="18" t="s">
        <v>12</v>
      </c>
    </row>
    <row r="5" spans="2:10" ht="17.25" x14ac:dyDescent="0.3">
      <c r="B5" s="68" t="s">
        <v>88</v>
      </c>
      <c r="C5" s="69"/>
      <c r="D5" s="69"/>
      <c r="E5" s="69"/>
      <c r="F5" s="69"/>
      <c r="G5" s="69"/>
      <c r="H5" s="69"/>
      <c r="I5" s="70"/>
    </row>
    <row r="6" spans="2:10" x14ac:dyDescent="0.3">
      <c r="B6" s="73" t="s">
        <v>37</v>
      </c>
      <c r="C6" s="67">
        <v>1E-3</v>
      </c>
      <c r="D6" s="67">
        <v>1E-3</v>
      </c>
      <c r="E6" s="67">
        <v>1E-3</v>
      </c>
      <c r="F6" s="67">
        <v>1E-3</v>
      </c>
      <c r="G6" s="67">
        <v>1E-3</v>
      </c>
      <c r="H6" s="136">
        <f>IFERROR(AVERAGE(C6:G6), "")</f>
        <v>1E-3</v>
      </c>
      <c r="I6" s="134" t="s">
        <v>106</v>
      </c>
      <c r="J6" s="90" t="s">
        <v>79</v>
      </c>
    </row>
    <row r="7" spans="2:10" x14ac:dyDescent="0.3">
      <c r="B7" s="83" t="s">
        <v>60</v>
      </c>
      <c r="C7" s="75">
        <f>(C6*Assumptions!C18)*Assumptions!C20</f>
        <v>150000</v>
      </c>
      <c r="D7" s="75">
        <f>(D6*Assumptions!D18)*Assumptions!D20</f>
        <v>157500</v>
      </c>
      <c r="E7" s="75">
        <f>(E6*Assumptions!E18)*Assumptions!E20</f>
        <v>165000</v>
      </c>
      <c r="F7" s="75">
        <f>(F6*Assumptions!F18)*Assumptions!F20</f>
        <v>172500</v>
      </c>
      <c r="G7" s="75">
        <f>(G6*Assumptions!G18)*Assumptions!G20</f>
        <v>180000</v>
      </c>
      <c r="H7" s="125">
        <f>SUM(C7:G7)</f>
        <v>825000</v>
      </c>
      <c r="I7" s="135" t="str">
        <f>"Based on " &amp; TEXT(Assumptions!C20, "0.0%") &amp; " margin in yr1"</f>
        <v>Based on 30.0% margin in yr1</v>
      </c>
      <c r="J7" s="90" t="s">
        <v>79</v>
      </c>
    </row>
    <row r="8" spans="2:10" x14ac:dyDescent="0.3">
      <c r="B8" s="74" t="s">
        <v>97</v>
      </c>
      <c r="C8" s="138"/>
      <c r="D8" s="138"/>
      <c r="E8" s="138"/>
      <c r="F8" s="138"/>
      <c r="G8" s="138"/>
      <c r="H8" s="139" t="str">
        <f>IFERROR(AVERAGE(C8:G8), "")</f>
        <v/>
      </c>
      <c r="I8" s="91" t="s">
        <v>98</v>
      </c>
      <c r="J8" s="90" t="s">
        <v>79</v>
      </c>
    </row>
    <row r="9" spans="2:10" x14ac:dyDescent="0.3">
      <c r="B9" s="84" t="s">
        <v>61</v>
      </c>
      <c r="C9" s="76">
        <f>C8*Assumptions!C19</f>
        <v>0</v>
      </c>
      <c r="D9" s="76">
        <f>D8*Assumptions!D19</f>
        <v>0</v>
      </c>
      <c r="E9" s="76">
        <f>E8*Assumptions!E19</f>
        <v>0</v>
      </c>
      <c r="F9" s="76">
        <f>F8*Assumptions!F19</f>
        <v>0</v>
      </c>
      <c r="G9" s="75">
        <f>G8*Assumptions!G19</f>
        <v>0</v>
      </c>
      <c r="H9" s="125">
        <f>SUM(C9:G9)</f>
        <v>0</v>
      </c>
      <c r="I9" s="143" t="str">
        <f>"Based on " &amp; TEXT(Assumptions!C19, "#,,""M""") &amp; " cost-of-sales in yr1"</f>
        <v>Based on 350M cost-of-sales in yr1</v>
      </c>
      <c r="J9" s="90" t="s">
        <v>79</v>
      </c>
    </row>
    <row r="10" spans="2:10" x14ac:dyDescent="0.3">
      <c r="B10" s="74" t="s">
        <v>53</v>
      </c>
      <c r="C10" s="47"/>
      <c r="D10" s="47"/>
      <c r="E10" s="47"/>
      <c r="F10" s="47"/>
      <c r="G10" s="47"/>
      <c r="H10" s="137" t="str">
        <f>IFERROR(AVERAGE(C10:G10), "")</f>
        <v/>
      </c>
      <c r="I10" s="144" t="s">
        <v>52</v>
      </c>
      <c r="J10" s="90" t="s">
        <v>79</v>
      </c>
    </row>
    <row r="11" spans="2:10" x14ac:dyDescent="0.3">
      <c r="B11" s="85" t="s">
        <v>62</v>
      </c>
      <c r="C11" s="75">
        <f>Assumptions!C21*C10</f>
        <v>0</v>
      </c>
      <c r="D11" s="75">
        <f>Assumptions!D21*D10</f>
        <v>0</v>
      </c>
      <c r="E11" s="75">
        <f>Assumptions!E21*E10</f>
        <v>0</v>
      </c>
      <c r="F11" s="75">
        <f>Assumptions!F21*F10</f>
        <v>0</v>
      </c>
      <c r="G11" s="75">
        <f>Assumptions!G21*G10</f>
        <v>0</v>
      </c>
      <c r="H11" s="125">
        <f>SUM(C11:G11)</f>
        <v>0</v>
      </c>
      <c r="I11" s="135" t="str">
        <f>"Based on " &amp; TEXT(Assumptions!C21, "#,,""M""") &amp; " OpEx in Yr1"</f>
        <v>Based on 125M OpEx in Yr1</v>
      </c>
      <c r="J11" s="90" t="s">
        <v>79</v>
      </c>
    </row>
    <row r="12" spans="2:10" x14ac:dyDescent="0.3">
      <c r="B12" s="86" t="s">
        <v>117</v>
      </c>
      <c r="C12" s="77"/>
      <c r="D12" s="126"/>
      <c r="E12" s="126"/>
      <c r="F12" s="126"/>
      <c r="G12" s="126"/>
      <c r="H12" s="126"/>
      <c r="I12" s="92" t="s">
        <v>118</v>
      </c>
      <c r="J12" s="90" t="s">
        <v>79</v>
      </c>
    </row>
    <row r="13" spans="2:10" ht="15.75" x14ac:dyDescent="0.3">
      <c r="B13" s="48" t="s">
        <v>63</v>
      </c>
      <c r="C13" s="49">
        <f>C7+C9+C11+C12</f>
        <v>150000</v>
      </c>
      <c r="D13" s="49">
        <f t="shared" ref="D13:H13" si="0">D7+D9+D11+D12</f>
        <v>157500</v>
      </c>
      <c r="E13" s="49">
        <f t="shared" si="0"/>
        <v>165000</v>
      </c>
      <c r="F13" s="49">
        <f t="shared" si="0"/>
        <v>172500</v>
      </c>
      <c r="G13" s="49">
        <f t="shared" si="0"/>
        <v>180000</v>
      </c>
      <c r="H13" s="49">
        <f t="shared" si="0"/>
        <v>825000</v>
      </c>
      <c r="I13" s="93"/>
      <c r="J13" s="90" t="s">
        <v>79</v>
      </c>
    </row>
    <row r="14" spans="2:10" ht="15" customHeight="1" x14ac:dyDescent="0.45">
      <c r="B14" s="17"/>
      <c r="I14" s="94"/>
      <c r="J14" s="90" t="s">
        <v>79</v>
      </c>
    </row>
    <row r="15" spans="2:10" ht="17.25" x14ac:dyDescent="0.3">
      <c r="B15" s="68" t="s">
        <v>95</v>
      </c>
      <c r="C15" s="71"/>
      <c r="D15" s="71"/>
      <c r="E15" s="71"/>
      <c r="F15" s="71"/>
      <c r="G15" s="71"/>
      <c r="H15" s="71"/>
      <c r="I15" s="95"/>
      <c r="J15" s="90" t="s">
        <v>79</v>
      </c>
    </row>
    <row r="16" spans="2:10" ht="15.75" x14ac:dyDescent="0.3">
      <c r="B16" s="78" t="s">
        <v>85</v>
      </c>
      <c r="C16" s="79">
        <v>120</v>
      </c>
      <c r="D16" s="179">
        <v>120</v>
      </c>
      <c r="E16" s="179">
        <v>120</v>
      </c>
      <c r="F16" s="179">
        <v>120</v>
      </c>
      <c r="G16" s="179">
        <v>120</v>
      </c>
      <c r="H16" s="153">
        <f>IFERROR(AVERAGE(C16:G16), "")</f>
        <v>120</v>
      </c>
      <c r="I16" s="96" t="str">
        <f>ROUND(C16/12, 0) &amp; " hour(s) per month"</f>
        <v>10 hour(s) per month</v>
      </c>
      <c r="J16" s="90" t="s">
        <v>79</v>
      </c>
    </row>
    <row r="17" spans="2:14" ht="15.75" x14ac:dyDescent="0.3">
      <c r="B17" s="112" t="s">
        <v>107</v>
      </c>
      <c r="C17" s="60">
        <f>AdminUsers</f>
        <v>3</v>
      </c>
      <c r="D17" s="60">
        <f>AdminUsers</f>
        <v>3</v>
      </c>
      <c r="E17" s="60">
        <f>AdminUsers</f>
        <v>3</v>
      </c>
      <c r="F17" s="60">
        <f>AdminUsers</f>
        <v>3</v>
      </c>
      <c r="G17" s="60">
        <f>AdminUsers</f>
        <v>3</v>
      </c>
      <c r="H17" s="153">
        <f>IFERROR(AVERAGE(C17:G17), "")</f>
        <v>3</v>
      </c>
      <c r="I17" s="113"/>
      <c r="J17" s="90"/>
    </row>
    <row r="18" spans="2:14" ht="15.75" x14ac:dyDescent="0.3">
      <c r="B18" s="80" t="s">
        <v>64</v>
      </c>
      <c r="C18" s="81">
        <f>C16*AdminUsers*AdminCost/2080</f>
        <v>18000</v>
      </c>
      <c r="D18" s="81">
        <f>D16*AdminUsers*AdminCost/2080</f>
        <v>18000</v>
      </c>
      <c r="E18" s="81">
        <f>E16*AdminUsers*AdminCost/2080</f>
        <v>18000</v>
      </c>
      <c r="F18" s="81">
        <f>F16*AdminUsers*AdminCost/2080</f>
        <v>18000</v>
      </c>
      <c r="G18" s="81">
        <f>G16*AdminUsers*AdminCost/2080</f>
        <v>18000</v>
      </c>
      <c r="H18" s="81">
        <f>SUM(C18:G18)</f>
        <v>90000</v>
      </c>
      <c r="I18" s="97"/>
      <c r="J18" s="90" t="s">
        <v>79</v>
      </c>
    </row>
    <row r="19" spans="2:14" ht="15.75" x14ac:dyDescent="0.3">
      <c r="B19" s="78" t="s">
        <v>84</v>
      </c>
      <c r="C19" s="79">
        <v>12</v>
      </c>
      <c r="D19" s="179">
        <v>12</v>
      </c>
      <c r="E19" s="179">
        <v>12</v>
      </c>
      <c r="F19" s="179">
        <v>12</v>
      </c>
      <c r="G19" s="179">
        <v>12</v>
      </c>
      <c r="H19" s="153">
        <f>IFERROR(AVERAGE(C19:G19), "")</f>
        <v>12</v>
      </c>
      <c r="I19" s="96" t="str">
        <f t="shared" ref="I19" si="1">ROUND(C19/12, 0) &amp; " hour(s) per month"</f>
        <v>1 hour(s) per month</v>
      </c>
      <c r="J19" s="90" t="s">
        <v>79</v>
      </c>
    </row>
    <row r="20" spans="2:14" ht="15.75" x14ac:dyDescent="0.3">
      <c r="B20" s="112" t="s">
        <v>4</v>
      </c>
      <c r="C20" s="60">
        <f>Assumptions!C14</f>
        <v>50</v>
      </c>
      <c r="D20" s="60">
        <f>Assumptions!D14</f>
        <v>52</v>
      </c>
      <c r="E20" s="60">
        <f>Assumptions!E14</f>
        <v>54</v>
      </c>
      <c r="F20" s="60">
        <f>Assumptions!F14</f>
        <v>56</v>
      </c>
      <c r="G20" s="60">
        <f>Assumptions!G14</f>
        <v>58</v>
      </c>
      <c r="H20" s="153">
        <f>IFERROR(AVERAGE(C20:G20), "")</f>
        <v>54</v>
      </c>
      <c r="I20" s="113"/>
      <c r="J20" s="90"/>
    </row>
    <row r="21" spans="2:14" ht="15.75" x14ac:dyDescent="0.3">
      <c r="B21" s="80" t="s">
        <v>65</v>
      </c>
      <c r="C21" s="81">
        <f>C19*C20*Assumptions!C15/2080</f>
        <v>30000</v>
      </c>
      <c r="D21" s="81">
        <f>D19*D20*Assumptions!D15/2080</f>
        <v>31824</v>
      </c>
      <c r="E21" s="81">
        <f>E19*E20*Assumptions!E15/2080</f>
        <v>33708.959999999999</v>
      </c>
      <c r="F21" s="81">
        <f>F19*F20*Assumptions!F15/2080</f>
        <v>35656.588800000005</v>
      </c>
      <c r="G21" s="81">
        <f>G19*G20*Assumptions!G15/2080</f>
        <v>37668.639168000009</v>
      </c>
      <c r="H21" s="81">
        <f>SUM(C21:G21)</f>
        <v>168858.18796800001</v>
      </c>
      <c r="I21" s="97"/>
      <c r="J21" s="90" t="s">
        <v>79</v>
      </c>
    </row>
    <row r="22" spans="2:14" ht="15.75" x14ac:dyDescent="0.3">
      <c r="B22" s="82" t="s">
        <v>119</v>
      </c>
      <c r="C22" s="77"/>
      <c r="D22" s="126"/>
      <c r="E22" s="126"/>
      <c r="F22" s="126"/>
      <c r="G22" s="126"/>
      <c r="H22" s="81">
        <f>SUM(C22:G22)</f>
        <v>0</v>
      </c>
      <c r="I22" s="93" t="s">
        <v>69</v>
      </c>
      <c r="J22" s="90" t="s">
        <v>79</v>
      </c>
    </row>
    <row r="23" spans="2:14" ht="15.75" x14ac:dyDescent="0.3">
      <c r="B23" s="48" t="s">
        <v>74</v>
      </c>
      <c r="C23" s="49">
        <f>SUM(C18:C22)</f>
        <v>48062</v>
      </c>
      <c r="D23" s="49">
        <f t="shared" ref="D23:H23" si="2">SUM(D18:D22)</f>
        <v>49888</v>
      </c>
      <c r="E23" s="49">
        <f t="shared" si="2"/>
        <v>51774.96</v>
      </c>
      <c r="F23" s="49">
        <f t="shared" si="2"/>
        <v>53724.588800000005</v>
      </c>
      <c r="G23" s="49">
        <f t="shared" si="2"/>
        <v>55738.639168000009</v>
      </c>
      <c r="H23" s="49">
        <f t="shared" si="2"/>
        <v>258924.18796800001</v>
      </c>
      <c r="I23" s="93"/>
      <c r="J23" s="90" t="s">
        <v>79</v>
      </c>
    </row>
    <row r="24" spans="2:14" x14ac:dyDescent="0.3">
      <c r="B24" s="19"/>
      <c r="C24" s="5"/>
      <c r="D24" s="5"/>
      <c r="E24" s="5"/>
      <c r="F24" s="5"/>
      <c r="G24" s="5"/>
      <c r="H24" s="5"/>
      <c r="I24" s="94"/>
      <c r="J24" s="90" t="s">
        <v>79</v>
      </c>
    </row>
    <row r="25" spans="2:14" ht="17.25" x14ac:dyDescent="0.3">
      <c r="B25" s="68" t="s">
        <v>80</v>
      </c>
      <c r="C25" s="69"/>
      <c r="D25" s="69"/>
      <c r="E25" s="69"/>
      <c r="F25" s="69"/>
      <c r="G25" s="69"/>
      <c r="H25" s="69"/>
      <c r="I25" s="98"/>
      <c r="J25" s="90" t="s">
        <v>79</v>
      </c>
    </row>
    <row r="26" spans="2:14" ht="15.75" x14ac:dyDescent="0.3">
      <c r="B26" s="50" t="s">
        <v>66</v>
      </c>
      <c r="C26" s="51">
        <v>10000</v>
      </c>
      <c r="D26" s="180">
        <v>10000</v>
      </c>
      <c r="E26" s="180">
        <v>10000</v>
      </c>
      <c r="F26" s="51"/>
      <c r="G26" s="51"/>
      <c r="H26" s="162">
        <f>SUM(C26:G26)</f>
        <v>30000</v>
      </c>
      <c r="I26" s="99" t="s">
        <v>105</v>
      </c>
      <c r="J26" s="90" t="s">
        <v>79</v>
      </c>
    </row>
    <row r="27" spans="2:14" ht="15.75" x14ac:dyDescent="0.3">
      <c r="B27" s="52" t="s">
        <v>67</v>
      </c>
      <c r="C27" s="53"/>
      <c r="D27" s="181"/>
      <c r="E27" s="181"/>
      <c r="F27" s="128"/>
      <c r="G27" s="128"/>
      <c r="H27" s="162">
        <f t="shared" ref="H27:H28" si="3">SUM(C27:G27)</f>
        <v>0</v>
      </c>
      <c r="I27" s="100" t="s">
        <v>70</v>
      </c>
      <c r="J27" s="90" t="s">
        <v>79</v>
      </c>
    </row>
    <row r="28" spans="2:14" ht="15.75" x14ac:dyDescent="0.3">
      <c r="B28" s="164" t="s">
        <v>68</v>
      </c>
      <c r="C28" s="165">
        <v>2000</v>
      </c>
      <c r="D28" s="182">
        <v>2000</v>
      </c>
      <c r="E28" s="182">
        <v>2000</v>
      </c>
      <c r="F28" s="166"/>
      <c r="G28" s="166"/>
      <c r="H28" s="167">
        <f t="shared" si="3"/>
        <v>6000</v>
      </c>
      <c r="I28" s="100" t="s">
        <v>71</v>
      </c>
      <c r="J28" s="90" t="s">
        <v>79</v>
      </c>
    </row>
    <row r="29" spans="2:14" ht="15.75" x14ac:dyDescent="0.3">
      <c r="B29" s="168" t="s">
        <v>73</v>
      </c>
      <c r="C29" s="152">
        <f>SUM(C26:C28)</f>
        <v>12000</v>
      </c>
      <c r="D29" s="152">
        <f t="shared" ref="D29:H29" si="4">SUM(D26:D28)</f>
        <v>12000</v>
      </c>
      <c r="E29" s="152">
        <f t="shared" si="4"/>
        <v>12000</v>
      </c>
      <c r="F29" s="152">
        <f t="shared" si="4"/>
        <v>0</v>
      </c>
      <c r="G29" s="152">
        <f t="shared" si="4"/>
        <v>0</v>
      </c>
      <c r="H29" s="152">
        <f t="shared" si="4"/>
        <v>36000</v>
      </c>
      <c r="I29" s="97"/>
      <c r="J29" s="90" t="s">
        <v>79</v>
      </c>
    </row>
    <row r="30" spans="2:14" x14ac:dyDescent="0.3">
      <c r="B30" s="20"/>
      <c r="C30" s="7"/>
      <c r="D30" s="7"/>
      <c r="E30" s="7"/>
      <c r="F30" s="7"/>
      <c r="G30" s="7"/>
      <c r="H30" s="7"/>
      <c r="I30" s="94"/>
      <c r="J30" s="90" t="s">
        <v>79</v>
      </c>
      <c r="N30" s="40"/>
    </row>
    <row r="31" spans="2:14" ht="17.25" x14ac:dyDescent="0.3">
      <c r="B31" s="72" t="s">
        <v>103</v>
      </c>
      <c r="C31" s="69"/>
      <c r="D31" s="69"/>
      <c r="E31" s="69"/>
      <c r="F31" s="69"/>
      <c r="G31" s="69"/>
      <c r="H31" s="69"/>
      <c r="I31" s="98"/>
      <c r="J31" s="90" t="s">
        <v>79</v>
      </c>
    </row>
    <row r="32" spans="2:14" x14ac:dyDescent="0.3">
      <c r="B32" s="54" t="s">
        <v>2</v>
      </c>
      <c r="C32" s="55">
        <v>10000</v>
      </c>
      <c r="D32" s="145">
        <f>C32*(1+Inflation)</f>
        <v>10200</v>
      </c>
      <c r="E32" s="146">
        <f>D32*(1+Inflation)</f>
        <v>10404</v>
      </c>
      <c r="F32" s="146">
        <f>E32*(1+Inflation)</f>
        <v>10612.08</v>
      </c>
      <c r="G32" s="146">
        <f>F32*(1+Inflation)</f>
        <v>10824.321599999999</v>
      </c>
      <c r="H32" s="162">
        <f>AVERAGE(C32:G32)</f>
        <v>10408.080319999999</v>
      </c>
      <c r="I32" s="101" t="s">
        <v>33</v>
      </c>
      <c r="J32" s="90" t="s">
        <v>79</v>
      </c>
    </row>
    <row r="33" spans="2:11" x14ac:dyDescent="0.3">
      <c r="B33" s="56" t="s">
        <v>8</v>
      </c>
      <c r="C33" s="57">
        <v>400</v>
      </c>
      <c r="D33" s="183">
        <v>400</v>
      </c>
      <c r="E33" s="183">
        <v>400</v>
      </c>
      <c r="F33" s="183">
        <v>400</v>
      </c>
      <c r="G33" s="183">
        <v>400</v>
      </c>
      <c r="H33" s="153">
        <f>IFERROR(AVERAGE(C33:G33), "")</f>
        <v>400</v>
      </c>
      <c r="I33" s="102" t="s">
        <v>50</v>
      </c>
      <c r="J33" s="90" t="s">
        <v>79</v>
      </c>
    </row>
    <row r="34" spans="2:11" x14ac:dyDescent="0.3">
      <c r="B34" s="56" t="s">
        <v>9</v>
      </c>
      <c r="C34" s="57">
        <v>80</v>
      </c>
      <c r="D34" s="183">
        <v>80</v>
      </c>
      <c r="E34" s="183">
        <v>80</v>
      </c>
      <c r="F34" s="183">
        <v>80</v>
      </c>
      <c r="G34" s="183">
        <v>80</v>
      </c>
      <c r="H34" s="153">
        <f>IFERROR(AVERAGE(C34:G34), "")</f>
        <v>80</v>
      </c>
      <c r="I34" s="102" t="s">
        <v>35</v>
      </c>
      <c r="J34" s="90" t="s">
        <v>79</v>
      </c>
    </row>
    <row r="35" spans="2:11" x14ac:dyDescent="0.3">
      <c r="B35" s="56" t="s">
        <v>10</v>
      </c>
      <c r="C35" s="58">
        <f>Assumptions!C13/2080</f>
        <v>50</v>
      </c>
      <c r="D35" s="147">
        <f>Assumptions!D13/2080</f>
        <v>51</v>
      </c>
      <c r="E35" s="129">
        <f>Assumptions!E13/2080</f>
        <v>52.02</v>
      </c>
      <c r="F35" s="129">
        <f>Assumptions!F13/2080</f>
        <v>53.060400000000008</v>
      </c>
      <c r="G35" s="129">
        <f>Assumptions!G13/2080</f>
        <v>54.121608000000009</v>
      </c>
      <c r="H35" s="161">
        <f t="shared" ref="H33:H39" si="5">AVERAGE(C35:G35)</f>
        <v>52.04040160000001</v>
      </c>
      <c r="I35" s="102"/>
      <c r="J35" s="90" t="s">
        <v>79</v>
      </c>
    </row>
    <row r="36" spans="2:11" x14ac:dyDescent="0.3">
      <c r="B36" s="56" t="s">
        <v>5</v>
      </c>
      <c r="C36" s="59">
        <f>C35*(C33+C34)</f>
        <v>24000</v>
      </c>
      <c r="D36" s="148">
        <f t="shared" ref="D36:G36" si="6">D35*(D33+D34)</f>
        <v>24480</v>
      </c>
      <c r="E36" s="130">
        <f t="shared" si="6"/>
        <v>24969.600000000002</v>
      </c>
      <c r="F36" s="130">
        <f t="shared" si="6"/>
        <v>25468.992000000006</v>
      </c>
      <c r="G36" s="130">
        <f t="shared" si="6"/>
        <v>25978.371840000003</v>
      </c>
      <c r="H36" s="162">
        <f t="shared" si="5"/>
        <v>24979.392768000002</v>
      </c>
      <c r="I36" s="102"/>
      <c r="J36" s="90" t="s">
        <v>79</v>
      </c>
    </row>
    <row r="37" spans="2:11" x14ac:dyDescent="0.3">
      <c r="B37" s="56" t="s">
        <v>11</v>
      </c>
      <c r="C37" s="60">
        <f>Assumptions!C12</f>
        <v>3</v>
      </c>
      <c r="D37" s="149">
        <f>Assumptions!D12</f>
        <v>3</v>
      </c>
      <c r="E37" s="127">
        <f>Assumptions!E12</f>
        <v>3</v>
      </c>
      <c r="F37" s="127">
        <f>Assumptions!F12</f>
        <v>3</v>
      </c>
      <c r="G37" s="127">
        <f>Assumptions!G12</f>
        <v>3</v>
      </c>
      <c r="H37" s="153">
        <f t="shared" si="5"/>
        <v>3</v>
      </c>
      <c r="I37" s="102" t="s">
        <v>34</v>
      </c>
      <c r="J37" s="90" t="s">
        <v>79</v>
      </c>
    </row>
    <row r="38" spans="2:11" x14ac:dyDescent="0.3">
      <c r="B38" s="56" t="s">
        <v>51</v>
      </c>
      <c r="C38" s="24">
        <v>0.1</v>
      </c>
      <c r="D38" s="24">
        <v>0.1</v>
      </c>
      <c r="E38" s="24">
        <v>0.1</v>
      </c>
      <c r="F38" s="24">
        <v>0.1</v>
      </c>
      <c r="G38" s="24">
        <v>0.1</v>
      </c>
      <c r="H38" s="159">
        <f>IFERROR(AVERAGE(C38:G38), "")</f>
        <v>0.1</v>
      </c>
      <c r="I38" s="102" t="s">
        <v>96</v>
      </c>
      <c r="J38" s="90" t="s">
        <v>79</v>
      </c>
    </row>
    <row r="39" spans="2:11" x14ac:dyDescent="0.3">
      <c r="B39" s="109" t="s">
        <v>39</v>
      </c>
      <c r="C39" s="150">
        <f>C37*C38</f>
        <v>0.30000000000000004</v>
      </c>
      <c r="D39" s="151">
        <f t="shared" ref="D39:G39" si="7">D37*D38</f>
        <v>0.30000000000000004</v>
      </c>
      <c r="E39" s="110">
        <f t="shared" si="7"/>
        <v>0.30000000000000004</v>
      </c>
      <c r="F39" s="110">
        <f t="shared" si="7"/>
        <v>0.30000000000000004</v>
      </c>
      <c r="G39" s="110">
        <f t="shared" si="7"/>
        <v>0.30000000000000004</v>
      </c>
      <c r="H39" s="160">
        <f t="shared" si="5"/>
        <v>0.30000000000000004</v>
      </c>
      <c r="I39" s="102" t="s">
        <v>40</v>
      </c>
      <c r="J39" s="90" t="s">
        <v>79</v>
      </c>
    </row>
    <row r="40" spans="2:11" ht="15.75" x14ac:dyDescent="0.3">
      <c r="B40" s="48" t="s">
        <v>72</v>
      </c>
      <c r="C40" s="152">
        <f>(C36+C32)*C37*C38</f>
        <v>10200</v>
      </c>
      <c r="D40" s="152">
        <f t="shared" ref="D40:G40" si="8">(D36+D32)*D37*D38</f>
        <v>10404</v>
      </c>
      <c r="E40" s="152">
        <f t="shared" si="8"/>
        <v>10612.080000000002</v>
      </c>
      <c r="F40" s="152">
        <f t="shared" si="8"/>
        <v>10824.321600000003</v>
      </c>
      <c r="G40" s="152">
        <f t="shared" si="8"/>
        <v>11040.808032000001</v>
      </c>
      <c r="H40" s="152">
        <f>SUM(C40:G40)</f>
        <v>53081.209632000006</v>
      </c>
      <c r="I40" s="97"/>
      <c r="J40" s="90" t="s">
        <v>79</v>
      </c>
      <c r="K40" s="9"/>
    </row>
    <row r="41" spans="2:11" x14ac:dyDescent="0.3">
      <c r="B41" s="20"/>
      <c r="C41" s="6"/>
      <c r="D41" s="6"/>
      <c r="E41" s="6"/>
      <c r="F41" s="6"/>
      <c r="G41" s="6"/>
      <c r="H41" s="6"/>
      <c r="I41" s="94"/>
      <c r="J41" s="90" t="s">
        <v>79</v>
      </c>
      <c r="K41" s="8"/>
    </row>
    <row r="42" spans="2:11" ht="17.25" x14ac:dyDescent="0.3">
      <c r="B42" s="72" t="s">
        <v>81</v>
      </c>
      <c r="C42" s="69"/>
      <c r="D42" s="69"/>
      <c r="E42" s="69"/>
      <c r="F42" s="69"/>
      <c r="G42" s="69"/>
      <c r="H42" s="69"/>
      <c r="I42" s="98"/>
      <c r="J42" s="90" t="s">
        <v>79</v>
      </c>
    </row>
    <row r="43" spans="2:11" x14ac:dyDescent="0.3">
      <c r="B43" s="54" t="s">
        <v>41</v>
      </c>
      <c r="C43" s="61">
        <v>500000</v>
      </c>
      <c r="D43" s="61">
        <v>500000</v>
      </c>
      <c r="E43" s="61">
        <v>500000</v>
      </c>
      <c r="F43" s="61">
        <v>500000</v>
      </c>
      <c r="G43" s="61">
        <v>500000</v>
      </c>
      <c r="H43" s="154">
        <f>IFERROR(AVERAGE(C43:G43), "")</f>
        <v>500000</v>
      </c>
      <c r="I43" s="99" t="s">
        <v>42</v>
      </c>
      <c r="J43" s="90" t="s">
        <v>79</v>
      </c>
    </row>
    <row r="44" spans="2:11" x14ac:dyDescent="0.3">
      <c r="B44" s="56" t="s">
        <v>99</v>
      </c>
      <c r="C44" s="27">
        <v>0.01</v>
      </c>
      <c r="D44" s="27">
        <v>0.01</v>
      </c>
      <c r="E44" s="27">
        <v>0.01</v>
      </c>
      <c r="F44" s="27">
        <v>0.01</v>
      </c>
      <c r="G44" s="27">
        <v>0.01</v>
      </c>
      <c r="H44" s="154">
        <f>IFERROR(AVERAGE(C44:G44), "")</f>
        <v>0.01</v>
      </c>
      <c r="I44" s="100"/>
      <c r="J44" s="90" t="s">
        <v>79</v>
      </c>
    </row>
    <row r="45" spans="2:11" ht="15.75" x14ac:dyDescent="0.3">
      <c r="B45" s="87" t="s">
        <v>76</v>
      </c>
      <c r="C45" s="62">
        <f>C43*C44</f>
        <v>5000</v>
      </c>
      <c r="D45" s="62">
        <f t="shared" ref="D45:G45" si="9">D43*D44</f>
        <v>5000</v>
      </c>
      <c r="E45" s="62">
        <f t="shared" si="9"/>
        <v>5000</v>
      </c>
      <c r="F45" s="62">
        <f t="shared" si="9"/>
        <v>5000</v>
      </c>
      <c r="G45" s="62">
        <f t="shared" si="9"/>
        <v>5000</v>
      </c>
      <c r="H45" s="155">
        <f>SUM(C45:G45)</f>
        <v>25000</v>
      </c>
      <c r="I45" s="97"/>
      <c r="J45" s="90" t="s">
        <v>79</v>
      </c>
    </row>
    <row r="46" spans="2:11" x14ac:dyDescent="0.3">
      <c r="B46" s="88" t="s">
        <v>59</v>
      </c>
      <c r="C46" s="61"/>
      <c r="D46" s="61"/>
      <c r="E46" s="61"/>
      <c r="F46" s="61"/>
      <c r="G46" s="61"/>
      <c r="H46" s="163" t="str">
        <f>IFERROR(AVERAGE(C46:G46), "")</f>
        <v/>
      </c>
      <c r="I46" s="103" t="s">
        <v>78</v>
      </c>
      <c r="J46" s="90" t="s">
        <v>79</v>
      </c>
    </row>
    <row r="47" spans="2:11" ht="15.75" x14ac:dyDescent="0.3">
      <c r="B47" s="66" t="s">
        <v>100</v>
      </c>
      <c r="C47" s="27"/>
      <c r="D47" s="27"/>
      <c r="E47" s="27"/>
      <c r="F47" s="27"/>
      <c r="G47" s="27"/>
      <c r="H47" s="154" t="str">
        <f>IFERROR(AVERAGE(C47:G47), "")</f>
        <v/>
      </c>
      <c r="I47" s="104"/>
      <c r="J47" s="90" t="s">
        <v>79</v>
      </c>
    </row>
    <row r="48" spans="2:11" ht="15.75" x14ac:dyDescent="0.3">
      <c r="B48" s="89" t="s">
        <v>77</v>
      </c>
      <c r="C48" s="62">
        <f>C46*C47</f>
        <v>0</v>
      </c>
      <c r="D48" s="62">
        <f t="shared" ref="D48:G48" si="10">D46*D47</f>
        <v>0</v>
      </c>
      <c r="E48" s="62">
        <f t="shared" si="10"/>
        <v>0</v>
      </c>
      <c r="F48" s="62">
        <f t="shared" si="10"/>
        <v>0</v>
      </c>
      <c r="G48" s="62">
        <f t="shared" si="10"/>
        <v>0</v>
      </c>
      <c r="H48" s="156">
        <f>SUM(C48:G48)</f>
        <v>0</v>
      </c>
      <c r="I48" s="105"/>
      <c r="J48" s="90" t="s">
        <v>79</v>
      </c>
    </row>
    <row r="49" spans="2:10" x14ac:dyDescent="0.3">
      <c r="B49" s="86" t="s">
        <v>120</v>
      </c>
      <c r="C49" s="63"/>
      <c r="D49" s="63"/>
      <c r="E49" s="63"/>
      <c r="F49" s="63"/>
      <c r="G49" s="63"/>
      <c r="H49" s="157">
        <f>SUM(C49:G49)</f>
        <v>0</v>
      </c>
      <c r="I49" s="93" t="s">
        <v>49</v>
      </c>
      <c r="J49" s="90" t="s">
        <v>79</v>
      </c>
    </row>
    <row r="50" spans="2:10" ht="15.75" x14ac:dyDescent="0.3">
      <c r="B50" s="64" t="s">
        <v>75</v>
      </c>
      <c r="C50" s="65">
        <f>C45+C49+C48</f>
        <v>5000</v>
      </c>
      <c r="D50" s="65">
        <f t="shared" ref="D50:G50" si="11">D45+D49+D48</f>
        <v>5000</v>
      </c>
      <c r="E50" s="65">
        <f t="shared" si="11"/>
        <v>5000</v>
      </c>
      <c r="F50" s="65">
        <f t="shared" si="11"/>
        <v>5000</v>
      </c>
      <c r="G50" s="65">
        <f t="shared" si="11"/>
        <v>5000</v>
      </c>
      <c r="H50" s="158">
        <f>SUM(C50:G50)</f>
        <v>25000</v>
      </c>
      <c r="I50" s="105"/>
      <c r="J50" s="90" t="s">
        <v>79</v>
      </c>
    </row>
    <row r="51" spans="2:10" x14ac:dyDescent="0.3">
      <c r="C51"/>
      <c r="D51"/>
      <c r="E51"/>
      <c r="F51"/>
      <c r="G51"/>
      <c r="H51"/>
      <c r="I51"/>
    </row>
  </sheetData>
  <sheetProtection algorithmName="SHA-512" hashValue="WQNl6QrsiawtZpPemcY2MytKUbhz5wZuaDvH11JAeffo4Rdh4QCPKWWOSXyxDfFh2aR9VOfsPAaYBBHsvSJgDw==" saltValue="9pW54KcBN1Ac1j8mztwE7A==" spinCount="100000" sheet="1" objects="1" scenarios="1"/>
  <pageMargins left="0.7" right="0.7" top="0.75" bottom="0.75" header="0.3" footer="0.3"/>
  <pageSetup orientation="portrait" horizontalDpi="300" verticalDpi="300" r:id="rId1"/>
  <ignoredErrors>
    <ignoredError sqref="H7:H8 D9:G9 H45 H9:H10 H38 H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506D-0292-46AF-8675-C25CB9E7C8AD}">
  <dimension ref="B2:J35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RowHeight="15" x14ac:dyDescent="0.3"/>
  <cols>
    <col min="1" max="1" width="2.75" customWidth="1"/>
    <col min="2" max="2" width="37.75" customWidth="1"/>
    <col min="3" max="7" width="8.625" customWidth="1"/>
    <col min="8" max="8" width="8.625" style="30" customWidth="1"/>
    <col min="9" max="9" width="0.875" style="30" customWidth="1"/>
    <col min="10" max="10" width="49.875" customWidth="1"/>
    <col min="11" max="11" width="5.875" customWidth="1"/>
    <col min="12" max="12" width="28.75" bestFit="1" customWidth="1"/>
    <col min="13" max="13" width="10.5" bestFit="1" customWidth="1"/>
  </cols>
  <sheetData>
    <row r="2" spans="2:10" ht="30.75" x14ac:dyDescent="0.45">
      <c r="B2" s="17" t="s">
        <v>83</v>
      </c>
    </row>
    <row r="4" spans="2:10" ht="15.75" x14ac:dyDescent="0.3">
      <c r="C4" s="12" t="s">
        <v>29</v>
      </c>
      <c r="D4" s="12" t="s">
        <v>30</v>
      </c>
      <c r="E4" s="12" t="s">
        <v>31</v>
      </c>
      <c r="F4" s="12" t="s">
        <v>56</v>
      </c>
      <c r="G4" s="12" t="s">
        <v>57</v>
      </c>
      <c r="H4" s="37" t="s">
        <v>0</v>
      </c>
      <c r="J4" s="18" t="s">
        <v>12</v>
      </c>
    </row>
    <row r="5" spans="2:10" ht="17.25" x14ac:dyDescent="0.3">
      <c r="B5" s="21" t="s">
        <v>14</v>
      </c>
      <c r="C5" s="21"/>
      <c r="D5" s="21"/>
      <c r="E5" s="21"/>
      <c r="F5" s="21"/>
      <c r="G5" s="21"/>
      <c r="H5" s="34"/>
      <c r="J5" s="21"/>
    </row>
    <row r="6" spans="2:10" ht="15.75" x14ac:dyDescent="0.3">
      <c r="B6" s="13" t="s">
        <v>1</v>
      </c>
      <c r="C6" s="22">
        <v>80000</v>
      </c>
      <c r="D6" s="177">
        <v>80000</v>
      </c>
      <c r="E6" s="177">
        <v>80000</v>
      </c>
      <c r="F6" s="177">
        <v>80000</v>
      </c>
      <c r="G6" s="177">
        <v>80000</v>
      </c>
      <c r="H6" s="32">
        <f>SUM(C6:G6)</f>
        <v>400000</v>
      </c>
      <c r="J6" s="15" t="s">
        <v>139</v>
      </c>
    </row>
    <row r="7" spans="2:10" ht="15.75" x14ac:dyDescent="0.3">
      <c r="B7" s="13" t="s">
        <v>90</v>
      </c>
      <c r="C7" s="22"/>
      <c r="D7" s="22"/>
      <c r="E7" s="22"/>
      <c r="F7" s="22"/>
      <c r="G7" s="22"/>
      <c r="H7" s="32">
        <f t="shared" ref="H7:H8" si="0">SUM(C7:G7)</f>
        <v>0</v>
      </c>
      <c r="J7" s="15" t="s">
        <v>140</v>
      </c>
    </row>
    <row r="8" spans="2:10" ht="15.75" x14ac:dyDescent="0.3">
      <c r="B8" s="13" t="s">
        <v>93</v>
      </c>
      <c r="C8" s="22"/>
      <c r="D8" s="22"/>
      <c r="E8" s="22"/>
      <c r="F8" s="22"/>
      <c r="G8" s="22"/>
      <c r="H8" s="32">
        <f t="shared" si="0"/>
        <v>0</v>
      </c>
      <c r="J8" s="15" t="s">
        <v>141</v>
      </c>
    </row>
    <row r="9" spans="2:10" ht="15.75" x14ac:dyDescent="0.3">
      <c r="B9" s="25" t="s">
        <v>91</v>
      </c>
      <c r="C9" s="32">
        <f>SUM(C6:C8)</f>
        <v>80000</v>
      </c>
      <c r="D9" s="32">
        <f>SUM(D6:D8)</f>
        <v>80000</v>
      </c>
      <c r="E9" s="32">
        <f>SUM(E6:E8)</f>
        <v>80000</v>
      </c>
      <c r="F9" s="32">
        <f>SUM(F6:F8)</f>
        <v>80000</v>
      </c>
      <c r="G9" s="32">
        <f>SUM(G6:G8)</f>
        <v>80000</v>
      </c>
      <c r="H9" s="32">
        <f>SUM(H6:H8)</f>
        <v>400000</v>
      </c>
      <c r="J9" s="15"/>
    </row>
    <row r="10" spans="2:10" x14ac:dyDescent="0.3">
      <c r="C10" s="9"/>
      <c r="D10" s="9"/>
      <c r="E10" s="9"/>
      <c r="F10" s="9"/>
      <c r="G10" s="9"/>
      <c r="H10" s="33"/>
    </row>
    <row r="11" spans="2:10" ht="15.75" x14ac:dyDescent="0.3">
      <c r="B11" s="13" t="s">
        <v>54</v>
      </c>
      <c r="C11" s="22">
        <v>120000</v>
      </c>
      <c r="D11" s="22"/>
      <c r="E11" s="22"/>
      <c r="F11" s="22"/>
      <c r="G11" s="22"/>
      <c r="H11" s="32">
        <f>SUM(C11:G11)</f>
        <v>120000</v>
      </c>
      <c r="J11" s="15" t="s">
        <v>142</v>
      </c>
    </row>
    <row r="12" spans="2:10" ht="15.75" x14ac:dyDescent="0.3">
      <c r="B12" s="13" t="s">
        <v>13</v>
      </c>
      <c r="C12" s="22"/>
      <c r="D12" s="22">
        <v>6000</v>
      </c>
      <c r="E12" s="177">
        <v>6000</v>
      </c>
      <c r="F12" s="177">
        <v>6000</v>
      </c>
      <c r="G12" s="177">
        <v>6000</v>
      </c>
      <c r="H12" s="32">
        <f>SUM(C12:G12)</f>
        <v>24000</v>
      </c>
      <c r="J12" s="15" t="s">
        <v>92</v>
      </c>
    </row>
    <row r="13" spans="2:10" ht="15.75" x14ac:dyDescent="0.3">
      <c r="B13" s="25" t="s">
        <v>47</v>
      </c>
      <c r="C13" s="32">
        <f>SUM(C11:C12)</f>
        <v>120000</v>
      </c>
      <c r="D13" s="32">
        <f>SUM(D11:D12)</f>
        <v>6000</v>
      </c>
      <c r="E13" s="32">
        <f>SUM(E11:E12)</f>
        <v>6000</v>
      </c>
      <c r="F13" s="32">
        <f t="shared" ref="F13:G13" si="1">SUM(F11:F12)</f>
        <v>6000</v>
      </c>
      <c r="G13" s="32">
        <f t="shared" si="1"/>
        <v>6000</v>
      </c>
      <c r="H13" s="32">
        <f>SUM(H11:H12)</f>
        <v>144000</v>
      </c>
      <c r="J13" s="15"/>
    </row>
    <row r="15" spans="2:10" ht="15.75" x14ac:dyDescent="0.3">
      <c r="B15" s="26" t="s">
        <v>55</v>
      </c>
      <c r="C15" s="28">
        <f>C6+C13</f>
        <v>200000</v>
      </c>
      <c r="D15" s="28">
        <f>D6+D13</f>
        <v>86000</v>
      </c>
      <c r="E15" s="28">
        <f>E6+E13</f>
        <v>86000</v>
      </c>
      <c r="F15" s="28">
        <f>F6+F13</f>
        <v>86000</v>
      </c>
      <c r="G15" s="28">
        <f>G6+G13</f>
        <v>86000</v>
      </c>
      <c r="H15" s="28">
        <f>H6+H13</f>
        <v>544000</v>
      </c>
      <c r="J15" s="15"/>
    </row>
    <row r="16" spans="2:10" x14ac:dyDescent="0.3">
      <c r="C16" s="1"/>
      <c r="D16" s="1"/>
      <c r="E16" s="1"/>
      <c r="F16" s="1"/>
      <c r="G16" s="1"/>
      <c r="H16" s="35"/>
    </row>
    <row r="17" spans="2:10" ht="17.25" x14ac:dyDescent="0.3">
      <c r="B17" s="21" t="s">
        <v>16</v>
      </c>
      <c r="C17" s="21"/>
      <c r="D17" s="21"/>
      <c r="E17" s="21"/>
      <c r="F17" s="21"/>
      <c r="G17" s="21"/>
      <c r="H17" s="34"/>
      <c r="J17" s="21"/>
    </row>
    <row r="18" spans="2:10" ht="15.75" x14ac:dyDescent="0.3">
      <c r="B18" s="13" t="s">
        <v>27</v>
      </c>
      <c r="C18" s="14">
        <f>Assumptions!$C$12</f>
        <v>3</v>
      </c>
      <c r="D18" s="15">
        <v>1</v>
      </c>
      <c r="E18" s="15">
        <v>1</v>
      </c>
      <c r="F18" s="15">
        <v>1</v>
      </c>
      <c r="G18" s="15">
        <v>1</v>
      </c>
      <c r="H18" s="29">
        <f>SUM(C18:G18)</f>
        <v>7</v>
      </c>
      <c r="J18" s="15" t="s">
        <v>138</v>
      </c>
    </row>
    <row r="19" spans="2:10" ht="15.75" x14ac:dyDescent="0.3">
      <c r="B19" s="13" t="s">
        <v>45</v>
      </c>
      <c r="C19" s="15">
        <v>80</v>
      </c>
      <c r="D19" s="178">
        <v>80</v>
      </c>
      <c r="E19" s="178">
        <v>80</v>
      </c>
      <c r="F19" s="178">
        <v>80</v>
      </c>
      <c r="G19" s="178">
        <v>80</v>
      </c>
      <c r="H19" s="29">
        <f>IFERROR(H20/H18, "")</f>
        <v>80</v>
      </c>
      <c r="J19" s="15" t="s">
        <v>137</v>
      </c>
    </row>
    <row r="20" spans="2:10" ht="15.75" x14ac:dyDescent="0.3">
      <c r="B20" s="13" t="s">
        <v>21</v>
      </c>
      <c r="C20" s="14">
        <f>C19*C18</f>
        <v>240</v>
      </c>
      <c r="D20" s="14">
        <f t="shared" ref="D20:G20" si="2">D19*D18</f>
        <v>80</v>
      </c>
      <c r="E20" s="14">
        <f t="shared" si="2"/>
        <v>80</v>
      </c>
      <c r="F20" s="14">
        <f t="shared" si="2"/>
        <v>80</v>
      </c>
      <c r="G20" s="14">
        <f t="shared" si="2"/>
        <v>80</v>
      </c>
      <c r="H20" s="29">
        <f>SUM(C20:G20)</f>
        <v>560</v>
      </c>
      <c r="J20" s="15"/>
    </row>
    <row r="21" spans="2:10" ht="15.75" x14ac:dyDescent="0.3">
      <c r="B21" s="13" t="s">
        <v>15</v>
      </c>
      <c r="C21" s="31">
        <f>Assumptions!C$13/2080</f>
        <v>50</v>
      </c>
      <c r="D21" s="31">
        <f>Assumptions!D$13/2080</f>
        <v>51</v>
      </c>
      <c r="E21" s="31">
        <f>Assumptions!E$13/2080</f>
        <v>52.02</v>
      </c>
      <c r="F21" s="31">
        <f>Assumptions!F$13/2080</f>
        <v>53.060400000000008</v>
      </c>
      <c r="G21" s="31">
        <f>Assumptions!G$13/2080</f>
        <v>54.121608000000009</v>
      </c>
      <c r="H21" s="36">
        <f>IFERROR(H22/H20, 0)</f>
        <v>51.457429714285716</v>
      </c>
      <c r="J21" s="15"/>
    </row>
    <row r="22" spans="2:10" ht="15.75" x14ac:dyDescent="0.3">
      <c r="B22" s="26" t="s">
        <v>44</v>
      </c>
      <c r="C22" s="28">
        <f>C21*C20</f>
        <v>12000</v>
      </c>
      <c r="D22" s="28">
        <f t="shared" ref="D22:G22" si="3">D21*D20</f>
        <v>4080</v>
      </c>
      <c r="E22" s="28">
        <f t="shared" si="3"/>
        <v>4161.6000000000004</v>
      </c>
      <c r="F22" s="28">
        <f t="shared" si="3"/>
        <v>4244.8320000000003</v>
      </c>
      <c r="G22" s="28">
        <f t="shared" si="3"/>
        <v>4329.7286400000012</v>
      </c>
      <c r="H22" s="28">
        <f>SUM(C22:G22)</f>
        <v>28816.160640000002</v>
      </c>
      <c r="J22" s="15"/>
    </row>
    <row r="24" spans="2:10" ht="15.75" x14ac:dyDescent="0.3">
      <c r="B24" s="13" t="s">
        <v>94</v>
      </c>
      <c r="C24" s="14">
        <f>Assumptions!$C$14</f>
        <v>50</v>
      </c>
      <c r="D24" s="15">
        <v>5</v>
      </c>
      <c r="E24" s="15">
        <v>5</v>
      </c>
      <c r="F24" s="15">
        <v>5</v>
      </c>
      <c r="G24" s="15">
        <v>5</v>
      </c>
      <c r="H24" s="29">
        <f>Assumptions!$C$14</f>
        <v>50</v>
      </c>
      <c r="J24" s="15"/>
    </row>
    <row r="25" spans="2:10" ht="15.75" x14ac:dyDescent="0.3">
      <c r="B25" s="13" t="s">
        <v>45</v>
      </c>
      <c r="C25" s="15">
        <v>3</v>
      </c>
      <c r="D25" s="178">
        <v>3</v>
      </c>
      <c r="E25" s="178">
        <v>3</v>
      </c>
      <c r="F25" s="178">
        <v>3</v>
      </c>
      <c r="G25" s="178">
        <v>3</v>
      </c>
      <c r="H25" s="29">
        <f>IFERROR(H26/H24, "")</f>
        <v>4.2</v>
      </c>
      <c r="J25" s="15"/>
    </row>
    <row r="26" spans="2:10" ht="15.75" x14ac:dyDescent="0.3">
      <c r="B26" s="13" t="s">
        <v>122</v>
      </c>
      <c r="C26" s="14">
        <f>C25*C24</f>
        <v>150</v>
      </c>
      <c r="D26" s="14">
        <f t="shared" ref="D26:G26" si="4">D25*D24</f>
        <v>15</v>
      </c>
      <c r="E26" s="14">
        <f t="shared" si="4"/>
        <v>15</v>
      </c>
      <c r="F26" s="14">
        <f t="shared" si="4"/>
        <v>15</v>
      </c>
      <c r="G26" s="14">
        <f t="shared" si="4"/>
        <v>15</v>
      </c>
      <c r="H26" s="29">
        <f>SUM(C26:G26)</f>
        <v>210</v>
      </c>
      <c r="J26" s="15"/>
    </row>
    <row r="27" spans="2:10" ht="15.75" x14ac:dyDescent="0.3">
      <c r="B27" s="13" t="s">
        <v>15</v>
      </c>
      <c r="C27" s="31">
        <f>Assumptions!C$15/2080</f>
        <v>50</v>
      </c>
      <c r="D27" s="31">
        <f>Assumptions!D$15/2080</f>
        <v>51</v>
      </c>
      <c r="E27" s="31">
        <f>Assumptions!E$15/2080</f>
        <v>52.02</v>
      </c>
      <c r="F27" s="31">
        <f>Assumptions!F$15/2080</f>
        <v>53.060400000000008</v>
      </c>
      <c r="G27" s="31">
        <f>Assumptions!G$15/2080</f>
        <v>54.121608000000009</v>
      </c>
      <c r="H27" s="36">
        <f>IFERROR(H28/H25, 0)</f>
        <v>2153.6428571428569</v>
      </c>
      <c r="J27" s="15"/>
    </row>
    <row r="28" spans="2:10" ht="15.75" x14ac:dyDescent="0.3">
      <c r="B28" s="26" t="s">
        <v>46</v>
      </c>
      <c r="C28" s="32">
        <f>C24*C25*C27</f>
        <v>7500</v>
      </c>
      <c r="D28" s="32">
        <f t="shared" ref="D28:E28" si="5">D24*D25*D27</f>
        <v>765</v>
      </c>
      <c r="E28" s="32">
        <f t="shared" si="5"/>
        <v>780.30000000000007</v>
      </c>
      <c r="F28" s="32">
        <f t="shared" ref="F28:G28" si="6">F24*F25*F27</f>
        <v>795.90600000000018</v>
      </c>
      <c r="G28" s="32">
        <f t="shared" si="6"/>
        <v>811.82412000000011</v>
      </c>
      <c r="H28" s="32">
        <f>SUM(C28:E28)</f>
        <v>9045.2999999999993</v>
      </c>
      <c r="J28" s="15"/>
    </row>
    <row r="30" spans="2:10" ht="15.75" x14ac:dyDescent="0.3">
      <c r="B30" s="13" t="s">
        <v>17</v>
      </c>
      <c r="C30" s="15">
        <v>3</v>
      </c>
      <c r="D30" s="15"/>
      <c r="E30" s="15"/>
      <c r="F30" s="15"/>
      <c r="G30" s="15"/>
      <c r="H30" s="29">
        <v>8</v>
      </c>
      <c r="J30" s="15" t="s">
        <v>143</v>
      </c>
    </row>
    <row r="31" spans="2:10" ht="15.75" x14ac:dyDescent="0.3">
      <c r="B31" s="13" t="s">
        <v>18</v>
      </c>
      <c r="C31" s="15">
        <v>16</v>
      </c>
      <c r="D31" s="15"/>
      <c r="E31" s="15"/>
      <c r="F31" s="15"/>
      <c r="G31" s="15"/>
      <c r="H31" s="29">
        <v>20</v>
      </c>
      <c r="J31" s="15"/>
    </row>
    <row r="32" spans="2:10" ht="15.75" x14ac:dyDescent="0.3">
      <c r="B32" s="13" t="s">
        <v>20</v>
      </c>
      <c r="C32" s="22">
        <v>50</v>
      </c>
      <c r="D32" s="22"/>
      <c r="E32" s="22"/>
      <c r="F32" s="22"/>
      <c r="G32" s="22"/>
      <c r="H32" s="32">
        <f>H33/H31/H30</f>
        <v>15</v>
      </c>
      <c r="J32" s="15"/>
    </row>
    <row r="33" spans="2:10" ht="15.75" x14ac:dyDescent="0.3">
      <c r="B33" s="26" t="s">
        <v>19</v>
      </c>
      <c r="C33" s="28">
        <f>C30*C31*C32</f>
        <v>2400</v>
      </c>
      <c r="D33" s="28">
        <f t="shared" ref="D33:G33" si="7">D30*D31*D32</f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>SUM(C33:E33)</f>
        <v>2400</v>
      </c>
      <c r="J33" s="15"/>
    </row>
    <row r="35" spans="2:10" ht="15.75" x14ac:dyDescent="0.3">
      <c r="B35" s="26" t="s">
        <v>43</v>
      </c>
      <c r="C35" s="28">
        <f>C22+C28+C33</f>
        <v>21900</v>
      </c>
      <c r="D35" s="28">
        <f>D22+D28+D33</f>
        <v>4845</v>
      </c>
      <c r="E35" s="28">
        <f>E22+E28+E33</f>
        <v>4941.9000000000005</v>
      </c>
      <c r="F35" s="28">
        <f t="shared" ref="F35:G35" si="8">F22+F28+F33</f>
        <v>5040.7380000000003</v>
      </c>
      <c r="G35" s="28">
        <f t="shared" si="8"/>
        <v>5141.5527600000014</v>
      </c>
      <c r="H35" s="28">
        <f>SUM(C35:E35)</f>
        <v>31686.9</v>
      </c>
      <c r="J35" s="15"/>
    </row>
  </sheetData>
  <sheetProtection algorithmName="SHA-512" hashValue="mVD/NVzC33Q1Lf2WJWmKcsNU66T+SnZPhVqe09HSkIqXX1UWn9OgeT/nqRdss+Q1vGkfWzQoB5cAcH84pdXWEw==" saltValue="ZUIghqZDXSqhsgxsYoJZ7g==" spinCount="100000" sheet="1" objects="1" scenarios="1"/>
  <pageMargins left="0.7" right="0.7" top="0.75" bottom="0.75" header="0.3" footer="0.3"/>
  <ignoredErrors>
    <ignoredError sqref="H21 C21: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E830-DF03-4F04-B125-D8152585665F}">
  <dimension ref="B2:G24"/>
  <sheetViews>
    <sheetView showRowColHeaders="0" workbookViewId="0">
      <selection activeCell="F14" sqref="F14"/>
    </sheetView>
  </sheetViews>
  <sheetFormatPr defaultRowHeight="15" x14ac:dyDescent="0.3"/>
  <cols>
    <col min="1" max="1" width="2.5" customWidth="1"/>
    <col min="2" max="2" width="28.75" bestFit="1" customWidth="1"/>
    <col min="3" max="7" width="11" customWidth="1"/>
  </cols>
  <sheetData>
    <row r="2" spans="2:7" ht="30.75" x14ac:dyDescent="0.45">
      <c r="B2" s="17" t="s">
        <v>108</v>
      </c>
    </row>
    <row r="4" spans="2:7" ht="17.25" x14ac:dyDescent="0.3">
      <c r="B4" s="16" t="s">
        <v>110</v>
      </c>
      <c r="C4" s="16"/>
    </row>
    <row r="5" spans="2:7" ht="15.75" x14ac:dyDescent="0.3">
      <c r="B5" s="13" t="s">
        <v>112</v>
      </c>
      <c r="C5" s="131">
        <v>5</v>
      </c>
    </row>
    <row r="6" spans="2:7" ht="15.75" x14ac:dyDescent="0.3">
      <c r="B6" s="13" t="s">
        <v>101</v>
      </c>
      <c r="C6" s="131">
        <v>3</v>
      </c>
    </row>
    <row r="7" spans="2:7" ht="15.75" x14ac:dyDescent="0.3">
      <c r="B7" s="133" t="s">
        <v>126</v>
      </c>
      <c r="C7" s="132">
        <v>0.08</v>
      </c>
    </row>
    <row r="8" spans="2:7" ht="15.75" hidden="1" x14ac:dyDescent="0.3">
      <c r="B8" s="133" t="s">
        <v>109</v>
      </c>
      <c r="C8" s="132"/>
    </row>
    <row r="9" spans="2:7" ht="15.75" x14ac:dyDescent="0.3">
      <c r="B9" s="13" t="s">
        <v>121</v>
      </c>
      <c r="C9" s="132">
        <v>0.02</v>
      </c>
    </row>
    <row r="11" spans="2:7" ht="17.25" x14ac:dyDescent="0.3">
      <c r="B11" s="16" t="s">
        <v>7</v>
      </c>
      <c r="C11" s="140" t="s">
        <v>29</v>
      </c>
      <c r="D11" s="140" t="s">
        <v>30</v>
      </c>
      <c r="E11" s="140" t="s">
        <v>31</v>
      </c>
      <c r="F11" s="140" t="s">
        <v>56</v>
      </c>
      <c r="G11" s="140" t="s">
        <v>57</v>
      </c>
    </row>
    <row r="12" spans="2:7" x14ac:dyDescent="0.3">
      <c r="B12" s="41" t="s">
        <v>3</v>
      </c>
      <c r="C12" s="42">
        <v>3</v>
      </c>
      <c r="D12" s="175">
        <v>3</v>
      </c>
      <c r="E12" s="175">
        <v>3</v>
      </c>
      <c r="F12" s="175">
        <v>3</v>
      </c>
      <c r="G12" s="175">
        <v>3</v>
      </c>
    </row>
    <row r="13" spans="2:7" x14ac:dyDescent="0.3">
      <c r="B13" s="41" t="s">
        <v>123</v>
      </c>
      <c r="C13" s="43">
        <v>104000</v>
      </c>
      <c r="D13" s="142">
        <f>C13*(1+Inflation)</f>
        <v>106080</v>
      </c>
      <c r="E13" s="142">
        <f>D13*(1+Inflation)</f>
        <v>108201.60000000001</v>
      </c>
      <c r="F13" s="142">
        <f>E13*(1+Inflation)</f>
        <v>110365.63200000001</v>
      </c>
      <c r="G13" s="142">
        <f>F13*(1+Inflation)</f>
        <v>112572.94464000002</v>
      </c>
    </row>
    <row r="14" spans="2:7" x14ac:dyDescent="0.3">
      <c r="B14" s="41" t="s">
        <v>4</v>
      </c>
      <c r="C14" s="42">
        <v>50</v>
      </c>
      <c r="D14" s="175">
        <v>52</v>
      </c>
      <c r="E14" s="175">
        <v>54</v>
      </c>
      <c r="F14" s="175">
        <v>56</v>
      </c>
      <c r="G14" s="175">
        <v>58</v>
      </c>
    </row>
    <row r="15" spans="2:7" x14ac:dyDescent="0.3">
      <c r="B15" s="41" t="s">
        <v>124</v>
      </c>
      <c r="C15" s="43">
        <v>104000</v>
      </c>
      <c r="D15" s="142">
        <f>C15*(1+Inflation)</f>
        <v>106080</v>
      </c>
      <c r="E15" s="142">
        <f>D15*(1+Inflation)</f>
        <v>108201.60000000001</v>
      </c>
      <c r="F15" s="142">
        <f>E15*(1+Inflation)</f>
        <v>110365.63200000001</v>
      </c>
      <c r="G15" s="142">
        <f>F15*(1+Inflation)</f>
        <v>112572.94464000002</v>
      </c>
    </row>
    <row r="17" spans="2:7" ht="16.5" x14ac:dyDescent="0.3">
      <c r="B17" s="46" t="s">
        <v>111</v>
      </c>
      <c r="C17" s="140" t="s">
        <v>29</v>
      </c>
      <c r="D17" s="140" t="s">
        <v>30</v>
      </c>
      <c r="E17" s="140" t="s">
        <v>31</v>
      </c>
      <c r="F17" s="140" t="s">
        <v>56</v>
      </c>
      <c r="G17" s="140" t="s">
        <v>57</v>
      </c>
    </row>
    <row r="18" spans="2:7" x14ac:dyDescent="0.3">
      <c r="B18" s="41" t="s">
        <v>24</v>
      </c>
      <c r="C18" s="43">
        <v>500000000</v>
      </c>
      <c r="D18" s="43">
        <v>525000000</v>
      </c>
      <c r="E18" s="176">
        <v>550000000</v>
      </c>
      <c r="F18" s="176">
        <v>575000000</v>
      </c>
      <c r="G18" s="176">
        <v>600000000</v>
      </c>
    </row>
    <row r="19" spans="2:7" x14ac:dyDescent="0.3">
      <c r="B19" s="41" t="s">
        <v>58</v>
      </c>
      <c r="C19" s="142">
        <f>C18*(1-C20)</f>
        <v>350000000</v>
      </c>
      <c r="D19" s="142">
        <f t="shared" ref="D19:G19" si="0">D18*(1-D20)</f>
        <v>367500000</v>
      </c>
      <c r="E19" s="142">
        <f t="shared" si="0"/>
        <v>385000000</v>
      </c>
      <c r="F19" s="142">
        <f t="shared" si="0"/>
        <v>402500000</v>
      </c>
      <c r="G19" s="142">
        <f t="shared" si="0"/>
        <v>420000000</v>
      </c>
    </row>
    <row r="20" spans="2:7" x14ac:dyDescent="0.3">
      <c r="B20" s="41" t="s">
        <v>48</v>
      </c>
      <c r="C20" s="141">
        <v>0.3</v>
      </c>
      <c r="D20" s="141">
        <v>0.3</v>
      </c>
      <c r="E20" s="141">
        <v>0.3</v>
      </c>
      <c r="F20" s="141">
        <v>0.3</v>
      </c>
      <c r="G20" s="141">
        <v>0.3</v>
      </c>
    </row>
    <row r="21" spans="2:7" x14ac:dyDescent="0.3">
      <c r="B21" s="41" t="s">
        <v>38</v>
      </c>
      <c r="C21" s="43">
        <v>125000000</v>
      </c>
      <c r="D21" s="176">
        <v>125000000</v>
      </c>
      <c r="E21" s="176">
        <v>125000000</v>
      </c>
      <c r="F21" s="176">
        <v>125000000</v>
      </c>
      <c r="G21" s="176">
        <v>125000000</v>
      </c>
    </row>
    <row r="22" spans="2:7" x14ac:dyDescent="0.3">
      <c r="B22" s="108" t="s">
        <v>102</v>
      </c>
      <c r="C22" s="33">
        <f>C18-C19-C21</f>
        <v>25000000</v>
      </c>
      <c r="D22" s="33">
        <f t="shared" ref="D22:G22" si="1">D18-D19-D21</f>
        <v>32500000</v>
      </c>
      <c r="E22" s="33">
        <f t="shared" si="1"/>
        <v>40000000</v>
      </c>
      <c r="F22" s="33">
        <f t="shared" si="1"/>
        <v>47500000</v>
      </c>
      <c r="G22" s="33">
        <f t="shared" si="1"/>
        <v>55000000</v>
      </c>
    </row>
    <row r="24" spans="2:7" x14ac:dyDescent="0.3">
      <c r="B24" s="173" t="s">
        <v>135</v>
      </c>
      <c r="C24" s="174" t="s">
        <v>134</v>
      </c>
    </row>
  </sheetData>
  <sheetProtection algorithmName="SHA-512" hashValue="/mlCts3PJH+iZXRARZK61SPCbv2GFaQBVkzixseVxO9cMmp9cWkTVW4FBmO9391/bQBz6ktsMl2eXJR9m4lvOw==" saltValue="S3LkuAz8lDIqaMUI9IwwSg==" spinCount="100000" sheet="1" objects="1" scenarios="1"/>
  <phoneticPr fontId="23" type="noConversion"/>
  <dataValidations disablePrompts="1" count="2">
    <dataValidation type="list" allowBlank="1" showInputMessage="1" showErrorMessage="1" sqref="C5" xr:uid="{1BC37899-8D60-4E2A-9B13-6314849D6065}">
      <formula1>"2,3,4,5"</formula1>
    </dataValidation>
    <dataValidation allowBlank="1" showInputMessage="1" showErrorMessage="1" prompt="Reduce benefits in year 1 to account for the software deployment lead-time" sqref="C6" xr:uid="{2D6FA951-DD2A-4F3D-A8FD-FDB50AB26671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BB1E69571644FA517BDEB524C913E" ma:contentTypeVersion="12" ma:contentTypeDescription="Create a new document." ma:contentTypeScope="" ma:versionID="2b28771f5831c8e27cc642a2395998fa">
  <xsd:schema xmlns:xsd="http://www.w3.org/2001/XMLSchema" xmlns:xs="http://www.w3.org/2001/XMLSchema" xmlns:p="http://schemas.microsoft.com/office/2006/metadata/properties" xmlns:ns3="2c36383b-0ab5-4dbe-8d67-fa7ac5cb5e58" xmlns:ns4="161ab8a4-341e-44f9-9bfa-db18e48ec187" targetNamespace="http://schemas.microsoft.com/office/2006/metadata/properties" ma:root="true" ma:fieldsID="6348224389ea094bc61f67863f3bd670" ns3:_="" ns4:_="">
    <xsd:import namespace="2c36383b-0ab5-4dbe-8d67-fa7ac5cb5e58"/>
    <xsd:import namespace="161ab8a4-341e-44f9-9bfa-db18e48ec1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383b-0ab5-4dbe-8d67-fa7ac5cb5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ab8a4-341e-44f9-9bfa-db18e48ec1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3C2C15-563F-45B0-822F-88CAD69EBE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09149-B035-4D55-8A02-AEA27CC5E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6383b-0ab5-4dbe-8d67-fa7ac5cb5e58"/>
    <ds:schemaRef ds:uri="161ab8a4-341e-44f9-9bfa-db18e48ec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B72DD2-C766-48F1-BBB0-922EEB90BF7C}">
  <ds:schemaRefs>
    <ds:schemaRef ds:uri="161ab8a4-341e-44f9-9bfa-db18e48ec187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c36383b-0ab5-4dbe-8d67-fa7ac5cb5e58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Summary</vt:lpstr>
      <vt:lpstr>Project Benefits</vt:lpstr>
      <vt:lpstr>Project Costs</vt:lpstr>
      <vt:lpstr>Assumptions</vt:lpstr>
      <vt:lpstr>AdminCost</vt:lpstr>
      <vt:lpstr>AdminUsers</vt:lpstr>
      <vt:lpstr>BusinessUserCost</vt:lpstr>
      <vt:lpstr>BusinessUsers</vt:lpstr>
      <vt:lpstr>Inflation</vt:lpstr>
      <vt:lpstr>ProjectLength</vt:lpstr>
      <vt:lpstr>varYears</vt:lpstr>
      <vt:lpstr>WACC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McDonald</dc:creator>
  <cp:lastModifiedBy>Andrew McDonald</cp:lastModifiedBy>
  <dcterms:created xsi:type="dcterms:W3CDTF">2020-07-02T12:21:25Z</dcterms:created>
  <dcterms:modified xsi:type="dcterms:W3CDTF">2020-07-20T18:23:28Z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0x01010030ABB1E69571644FA517BDEB524C913E</vt:lpwstr>
  </property>
</Properties>
</file>